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360" yWindow="405" windowWidth="18675" windowHeight="12045"/>
  </bookViews>
  <sheets>
    <sheet name="GESAMT" sheetId="1" r:id="rId1"/>
    <sheet name="Daten" sheetId="2" r:id="rId2"/>
    <sheet name="Waage" sheetId="3" r:id="rId3"/>
  </sheets>
  <calcPr calcId="144525"/>
</workbook>
</file>

<file path=xl/calcChain.xml><?xml version="1.0" encoding="utf-8"?>
<calcChain xmlns="http://schemas.openxmlformats.org/spreadsheetml/2006/main">
  <c r="H27" i="1" l="1"/>
  <c r="G27" i="1"/>
  <c r="F27" i="1"/>
  <c r="E27" i="1"/>
  <c r="D18" i="2"/>
  <c r="F18" i="2"/>
  <c r="E18" i="2"/>
  <c r="C18" i="2"/>
  <c r="H26" i="1"/>
  <c r="G26" i="1"/>
  <c r="F26" i="1"/>
  <c r="E26" i="1"/>
  <c r="H25" i="1"/>
  <c r="G25" i="1"/>
  <c r="F25" i="1"/>
  <c r="E25" i="1"/>
  <c r="H24" i="1"/>
  <c r="G24" i="1"/>
  <c r="F24" i="1"/>
  <c r="E24" i="1"/>
  <c r="H23" i="1"/>
  <c r="G23" i="1"/>
  <c r="F23" i="1"/>
  <c r="E23" i="1"/>
  <c r="F17" i="2"/>
  <c r="E17" i="2"/>
  <c r="D17" i="2"/>
  <c r="C17" i="2"/>
  <c r="H6" i="1"/>
  <c r="G6" i="1"/>
  <c r="F6" i="1"/>
  <c r="E6" i="1"/>
  <c r="H22" i="1"/>
  <c r="G22" i="1"/>
  <c r="F22" i="1"/>
  <c r="E22" i="1"/>
  <c r="F8" i="2"/>
  <c r="E8" i="2"/>
  <c r="D8" i="2"/>
  <c r="C8" i="2"/>
  <c r="F54" i="1"/>
  <c r="E54" i="1"/>
  <c r="H54" i="1"/>
  <c r="G54" i="1"/>
  <c r="I54" i="1"/>
  <c r="I55" i="1" s="1"/>
  <c r="H53" i="1"/>
  <c r="G53" i="1"/>
  <c r="F53" i="1"/>
  <c r="E53" i="1"/>
  <c r="H52" i="1"/>
  <c r="G52" i="1"/>
  <c r="F52" i="1"/>
  <c r="E52" i="1"/>
  <c r="H51" i="1"/>
  <c r="W44" i="1" s="1"/>
  <c r="G51" i="1"/>
  <c r="W43" i="1" s="1"/>
  <c r="F51" i="1"/>
  <c r="E51" i="1"/>
  <c r="W42" i="1" l="1"/>
  <c r="W45" i="1" s="1"/>
  <c r="G55" i="1" s="1"/>
  <c r="W55" i="1"/>
  <c r="E55" i="1"/>
  <c r="U11" i="1"/>
  <c r="T11" i="1"/>
  <c r="S11" i="1"/>
  <c r="V8" i="1"/>
  <c r="U8" i="1"/>
  <c r="T8" i="1"/>
  <c r="S8" i="1"/>
  <c r="V5" i="1"/>
  <c r="U5" i="1"/>
  <c r="T5" i="1"/>
  <c r="S5" i="1"/>
  <c r="H55" i="1" l="1"/>
  <c r="F55" i="1"/>
  <c r="V11" i="1"/>
  <c r="F72" i="2"/>
  <c r="E72" i="2"/>
  <c r="D72" i="2"/>
  <c r="C72" i="2"/>
  <c r="F71" i="2"/>
  <c r="E71" i="2"/>
  <c r="D71" i="2"/>
  <c r="C71" i="2"/>
  <c r="F70" i="2"/>
  <c r="E70" i="2"/>
  <c r="D70" i="2"/>
  <c r="C70" i="2"/>
  <c r="F69" i="2"/>
  <c r="E69" i="2"/>
  <c r="D69" i="2"/>
  <c r="C69" i="2"/>
  <c r="F68" i="2"/>
  <c r="E68" i="2"/>
  <c r="D68" i="2"/>
  <c r="C68" i="2"/>
  <c r="F67" i="2"/>
  <c r="E67" i="2"/>
  <c r="D67" i="2"/>
  <c r="C67" i="2"/>
  <c r="F66" i="2"/>
  <c r="E66" i="2"/>
  <c r="D66" i="2"/>
  <c r="C66" i="2"/>
  <c r="F65" i="2"/>
  <c r="E65" i="2"/>
  <c r="D65" i="2"/>
  <c r="C65" i="2"/>
  <c r="F64" i="2"/>
  <c r="E64" i="2"/>
  <c r="D64" i="2"/>
  <c r="C64" i="2"/>
  <c r="F63" i="2"/>
  <c r="E63" i="2"/>
  <c r="D63" i="2"/>
  <c r="C63" i="2"/>
  <c r="F62" i="2"/>
  <c r="E62" i="2"/>
  <c r="D62" i="2"/>
  <c r="C62" i="2"/>
  <c r="F61" i="2"/>
  <c r="E61" i="2"/>
  <c r="D61" i="2"/>
  <c r="C61" i="2"/>
  <c r="F60" i="2"/>
  <c r="E60" i="2"/>
  <c r="D60" i="2"/>
  <c r="C60" i="2"/>
  <c r="F59" i="2"/>
  <c r="E59" i="2"/>
  <c r="D59" i="2"/>
  <c r="C59" i="2"/>
  <c r="F58" i="2"/>
  <c r="E58" i="2"/>
  <c r="D58" i="2"/>
  <c r="C58" i="2"/>
  <c r="F57" i="2"/>
  <c r="E57" i="2"/>
  <c r="D57" i="2"/>
  <c r="C57" i="2"/>
  <c r="F56" i="2"/>
  <c r="E56" i="2"/>
  <c r="D56" i="2"/>
  <c r="C56" i="2"/>
  <c r="F55" i="2"/>
  <c r="E55" i="2"/>
  <c r="D55" i="2"/>
  <c r="C55" i="2"/>
  <c r="F54" i="2"/>
  <c r="E54" i="2"/>
  <c r="D54" i="2"/>
  <c r="C54" i="2"/>
  <c r="F53" i="2"/>
  <c r="E53" i="2"/>
  <c r="D53" i="2"/>
  <c r="C53" i="2"/>
  <c r="F52" i="2"/>
  <c r="E52" i="2"/>
  <c r="D52" i="2"/>
  <c r="C52" i="2"/>
  <c r="F51" i="2"/>
  <c r="E51" i="2"/>
  <c r="D51" i="2"/>
  <c r="C51" i="2"/>
  <c r="F50" i="2"/>
  <c r="E50" i="2"/>
  <c r="D50" i="2"/>
  <c r="C50" i="2"/>
  <c r="F49" i="2"/>
  <c r="E49" i="2"/>
  <c r="D49" i="2"/>
  <c r="C49" i="2"/>
  <c r="F48" i="2"/>
  <c r="E48" i="2"/>
  <c r="D48" i="2"/>
  <c r="C48" i="2"/>
  <c r="F47" i="2"/>
  <c r="E47" i="2"/>
  <c r="D47" i="2"/>
  <c r="C47" i="2"/>
  <c r="F46" i="2"/>
  <c r="E46" i="2"/>
  <c r="D46" i="2"/>
  <c r="C46" i="2"/>
  <c r="F45" i="2"/>
  <c r="E45" i="2"/>
  <c r="D45" i="2"/>
  <c r="C45" i="2"/>
  <c r="F44" i="2"/>
  <c r="E44" i="2"/>
  <c r="D44" i="2"/>
  <c r="C44" i="2"/>
  <c r="F43" i="2"/>
  <c r="E43" i="2"/>
  <c r="D43" i="2"/>
  <c r="C43" i="2"/>
  <c r="F42" i="2"/>
  <c r="E42" i="2"/>
  <c r="D42" i="2"/>
  <c r="C42" i="2"/>
  <c r="F41" i="2"/>
  <c r="E41" i="2"/>
  <c r="D41" i="2"/>
  <c r="C41" i="2"/>
  <c r="F40" i="2"/>
  <c r="E40" i="2"/>
  <c r="D40" i="2"/>
  <c r="C40" i="2"/>
  <c r="F39" i="2"/>
  <c r="E39" i="2"/>
  <c r="D39" i="2"/>
  <c r="C39" i="2"/>
  <c r="F38" i="2"/>
  <c r="E38" i="2"/>
  <c r="D38" i="2"/>
  <c r="C38" i="2"/>
  <c r="F37" i="2"/>
  <c r="E37" i="2"/>
  <c r="D37" i="2"/>
  <c r="C37" i="2"/>
  <c r="F36" i="2"/>
  <c r="E36" i="2"/>
  <c r="D36" i="2"/>
  <c r="C36" i="2"/>
  <c r="F35" i="2"/>
  <c r="E35" i="2"/>
  <c r="D35" i="2"/>
  <c r="C35" i="2"/>
  <c r="F34" i="2"/>
  <c r="E34" i="2"/>
  <c r="D34" i="2"/>
  <c r="C34" i="2"/>
  <c r="F33" i="2"/>
  <c r="E33" i="2"/>
  <c r="D33" i="2"/>
  <c r="C33" i="2"/>
  <c r="F32" i="2"/>
  <c r="E32" i="2"/>
  <c r="D32" i="2"/>
  <c r="C32" i="2"/>
  <c r="F31" i="2"/>
  <c r="E31" i="2"/>
  <c r="D31" i="2"/>
  <c r="C31" i="2"/>
  <c r="F30" i="2"/>
  <c r="E30" i="2"/>
  <c r="D30" i="2"/>
  <c r="C30" i="2"/>
  <c r="F29" i="2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9" i="2"/>
  <c r="E9" i="2"/>
  <c r="D9" i="2"/>
  <c r="C9" i="2"/>
  <c r="F7" i="2"/>
  <c r="E7" i="2"/>
  <c r="D7" i="2"/>
  <c r="C7" i="2"/>
  <c r="F6" i="2"/>
  <c r="E6" i="2"/>
  <c r="D6" i="2"/>
  <c r="C6" i="2"/>
  <c r="F5" i="2"/>
  <c r="E5" i="2"/>
  <c r="D5" i="2"/>
  <c r="C5" i="2"/>
  <c r="F4" i="2"/>
  <c r="E4" i="2"/>
  <c r="D4" i="2"/>
  <c r="C4" i="2"/>
  <c r="F3" i="2"/>
  <c r="E3" i="2"/>
  <c r="D3" i="2"/>
  <c r="C3" i="2"/>
  <c r="F2" i="2"/>
  <c r="E2" i="2"/>
  <c r="D2" i="2"/>
  <c r="C2" i="2"/>
  <c r="I37" i="1"/>
  <c r="I38" i="1" s="1"/>
  <c r="H36" i="1"/>
  <c r="G36" i="1"/>
  <c r="F36" i="1"/>
  <c r="E36" i="1"/>
  <c r="H35" i="1"/>
  <c r="G35" i="1"/>
  <c r="F35" i="1"/>
  <c r="E35" i="1"/>
  <c r="H34" i="1"/>
  <c r="G34" i="1"/>
  <c r="F34" i="1"/>
  <c r="E34" i="1"/>
  <c r="E37" i="1" s="1"/>
  <c r="I20" i="1"/>
  <c r="I21" i="1" s="1"/>
  <c r="H19" i="1"/>
  <c r="G19" i="1"/>
  <c r="F19" i="1"/>
  <c r="E19" i="1"/>
  <c r="H18" i="1"/>
  <c r="G18" i="1"/>
  <c r="F18" i="1"/>
  <c r="E18" i="1"/>
  <c r="H17" i="1"/>
  <c r="G17" i="1"/>
  <c r="F17" i="1"/>
  <c r="E17" i="1"/>
  <c r="H13" i="1"/>
  <c r="G13" i="1"/>
  <c r="F13" i="1"/>
  <c r="E13" i="1"/>
  <c r="H12" i="1"/>
  <c r="G12" i="1"/>
  <c r="F12" i="1"/>
  <c r="E12" i="1"/>
  <c r="H11" i="1"/>
  <c r="G11" i="1"/>
  <c r="F11" i="1"/>
  <c r="E11" i="1"/>
  <c r="H10" i="1"/>
  <c r="G10" i="1"/>
  <c r="F10" i="1"/>
  <c r="E10" i="1"/>
  <c r="H9" i="1"/>
  <c r="G9" i="1"/>
  <c r="F9" i="1"/>
  <c r="E9" i="1"/>
  <c r="H8" i="1"/>
  <c r="G8" i="1"/>
  <c r="F8" i="1"/>
  <c r="E8" i="1"/>
  <c r="H7" i="1"/>
  <c r="G7" i="1"/>
  <c r="F7" i="1"/>
  <c r="E7" i="1"/>
  <c r="H5" i="1"/>
  <c r="G5" i="1"/>
  <c r="F5" i="1"/>
  <c r="E5" i="1"/>
  <c r="H4" i="1"/>
  <c r="G4" i="1"/>
  <c r="F4" i="1"/>
  <c r="E4" i="1"/>
  <c r="H3" i="1"/>
  <c r="H20" i="1" s="1"/>
  <c r="W8" i="1" s="1"/>
  <c r="G3" i="1"/>
  <c r="G20" i="1" s="1"/>
  <c r="W7" i="1" s="1"/>
  <c r="F3" i="1"/>
  <c r="F20" i="1" s="1"/>
  <c r="W6" i="1" s="1"/>
  <c r="E3" i="1"/>
  <c r="E20" i="1" s="1"/>
  <c r="A3" i="1"/>
  <c r="A22" i="1" s="1"/>
  <c r="A39" i="1" s="1"/>
  <c r="G37" i="1" l="1"/>
  <c r="W26" i="1" s="1"/>
  <c r="F37" i="1"/>
  <c r="W25" i="1" s="1"/>
  <c r="H37" i="1"/>
  <c r="W27" i="1" s="1"/>
  <c r="W38" i="1"/>
  <c r="E38" i="1"/>
  <c r="W20" i="1"/>
  <c r="E21" i="1"/>
  <c r="W9" i="1"/>
  <c r="F21" i="1" s="1"/>
  <c r="W28" i="1" l="1"/>
  <c r="F38" i="1" s="1"/>
  <c r="G21" i="1"/>
  <c r="H21" i="1"/>
  <c r="H38" i="1" l="1"/>
  <c r="G38" i="1"/>
</calcChain>
</file>

<file path=xl/sharedStrings.xml><?xml version="1.0" encoding="utf-8"?>
<sst xmlns="http://schemas.openxmlformats.org/spreadsheetml/2006/main" count="210" uniqueCount="88">
  <si>
    <t>ERNÄHRUNG</t>
  </si>
  <si>
    <t>WAAGE</t>
  </si>
  <si>
    <t>TRAINING</t>
  </si>
  <si>
    <t>TAGESFEELING</t>
  </si>
  <si>
    <t>Formeln</t>
  </si>
  <si>
    <t>Tag</t>
  </si>
  <si>
    <t>Zeit</t>
  </si>
  <si>
    <t>Nahrungsmittel</t>
  </si>
  <si>
    <t>Vol</t>
  </si>
  <si>
    <t>EW</t>
  </si>
  <si>
    <t>Fett</t>
  </si>
  <si>
    <t>KH</t>
  </si>
  <si>
    <t>W</t>
  </si>
  <si>
    <t>Art</t>
  </si>
  <si>
    <t>Detail</t>
  </si>
  <si>
    <t>Ergebnis</t>
  </si>
  <si>
    <t>Essen</t>
  </si>
  <si>
    <t>Individuelles Training</t>
  </si>
  <si>
    <t>7,5 Durchgänge</t>
  </si>
  <si>
    <t>Etwas sprunghaft, teilweise zu viel Hunger! Insgesamt zu wenig</t>
  </si>
  <si>
    <t>Nöm Fasten Cottage Cheese Schnittlauch (g)</t>
  </si>
  <si>
    <t>Salzburgerland Bircher Müsli (g)</t>
  </si>
  <si>
    <t>Apfel (1g)</t>
  </si>
  <si>
    <t>Hokaido Kürbis (1g)</t>
  </si>
  <si>
    <t>Zucchini gelb (1g)</t>
  </si>
  <si>
    <t>Scherdinger Kochcreme nach Sauerrahm-Art</t>
  </si>
  <si>
    <t>Pomelo (1g)</t>
  </si>
  <si>
    <t>Training</t>
  </si>
  <si>
    <t>Kebap (Stk)</t>
  </si>
  <si>
    <t>Sehr intensiver Zirkel!, Nach dem Training Kreislauf seeeehr down! (vom Coffekapton+PerfectFatloss???)</t>
  </si>
  <si>
    <t>Supps</t>
  </si>
  <si>
    <t>Coffecapton</t>
  </si>
  <si>
    <t>ThermoX</t>
  </si>
  <si>
    <t>Perfect Fatloss</t>
  </si>
  <si>
    <t>Fischöl (Kapsel)</t>
  </si>
  <si>
    <t>Leinöl (Kapsel)</t>
  </si>
  <si>
    <t>Shake (30g)</t>
  </si>
  <si>
    <t>Summe</t>
  </si>
  <si>
    <t>Menge</t>
  </si>
  <si>
    <t>Kalorien</t>
  </si>
  <si>
    <t>Kohlenhydrate</t>
  </si>
  <si>
    <t>Shake (scoop)</t>
  </si>
  <si>
    <t>Sbudget Thunfisch natural (1g)</t>
  </si>
  <si>
    <t>Vitality Nuss Spezial Mischung (1g)</t>
  </si>
  <si>
    <t>Kiwi (1g)</t>
  </si>
  <si>
    <t>M</t>
  </si>
  <si>
    <t>F</t>
  </si>
  <si>
    <t>G</t>
  </si>
  <si>
    <t>Zirkel - 30Minuten, 60Sec/Übung</t>
  </si>
  <si>
    <t>STATISTIKEN</t>
  </si>
  <si>
    <t>Waage</t>
  </si>
  <si>
    <t>Gewicht</t>
  </si>
  <si>
    <t>Wasser</t>
  </si>
  <si>
    <t>Muskel</t>
  </si>
  <si>
    <t>Mittelwert</t>
  </si>
  <si>
    <t>Maximalwert</t>
  </si>
  <si>
    <t>Minimalwert</t>
  </si>
  <si>
    <t>Ernährung</t>
  </si>
  <si>
    <t>Gesamtanzahl</t>
  </si>
  <si>
    <t>Liegestütz</t>
  </si>
  <si>
    <t>Klimmzüge</t>
  </si>
  <si>
    <t>Kniebeugen</t>
  </si>
  <si>
    <t>Laufstatistiken</t>
  </si>
  <si>
    <t>?</t>
  </si>
  <si>
    <t>Km</t>
  </si>
  <si>
    <t>4 Stationen - Kniebeugen mit Medizinball/Hanteln - Liegestütz - Seilspringen - Situps</t>
  </si>
  <si>
    <t>Datum</t>
  </si>
  <si>
    <t>MITTELWERT</t>
  </si>
  <si>
    <t>MAXWERT</t>
  </si>
  <si>
    <t>Prozente und 2700 Kaloriengrenze</t>
  </si>
  <si>
    <t>Farbwechsel 2700Kal</t>
  </si>
  <si>
    <t>Prozente und 2700Kaloriengrenze</t>
  </si>
  <si>
    <t>Nordsee Flusskrebs-Ciabatta (Stk)</t>
  </si>
  <si>
    <t>kcal</t>
  </si>
  <si>
    <t>EW-kcal</t>
  </si>
  <si>
    <t>Fett-kcal</t>
  </si>
  <si>
    <t>KH-kcal</t>
  </si>
  <si>
    <t>EW-gesamt-kcal</t>
  </si>
  <si>
    <t>Fett-gesamt-kcal</t>
  </si>
  <si>
    <t>KH-gesamt-kcal</t>
  </si>
  <si>
    <t>Gesamt-kcal</t>
  </si>
  <si>
    <t>KH-gesamt-Kcal</t>
  </si>
  <si>
    <t>Gesamt-Kcal</t>
  </si>
  <si>
    <t>Erdnussmus Crunchy (1TL gehäuft - 13g)</t>
  </si>
  <si>
    <t>Eiweiß</t>
  </si>
  <si>
    <t>Rechtsklick für Taschenrechner!</t>
  </si>
  <si>
    <t>Paprika rot (g)</t>
  </si>
  <si>
    <t>HUNGER!!!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</si>
</sst>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.0%"/>
    <numFmt numFmtId="167" formatCode="#,##0.000"/>
    <numFmt numFmtId="168" formatCode="ddd\ dd/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>
      <alignment vertical="center"/>
    </xf>
  </cellStyleXfs>
  <cellXfs count="217">
    <xf numFmtId="0" fontId="0" fillId="0" borderId="0" xfId="0"/>
    <xf numFmtId="0" fontId="0" fillId="0" borderId="0" xfId="0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0" borderId="0" xfId="0" applyBorder="1"/>
    <xf numFmtId="0" fontId="0" fillId="4" borderId="0" xfId="0" applyFill="1" applyBorder="1"/>
    <xf numFmtId="0" fontId="0" fillId="9" borderId="0" xfId="0" applyFill="1" applyBorder="1"/>
    <xf numFmtId="0" fontId="8" fillId="9" borderId="0" xfId="0" applyFont="1" applyFill="1" applyBorder="1" applyAlignment="1">
      <alignment horizontal="center" wrapText="1"/>
    </xf>
    <xf numFmtId="0" fontId="8" fillId="9" borderId="0" xfId="0" applyFont="1" applyFill="1" applyBorder="1" applyAlignment="1">
      <alignment wrapText="1"/>
    </xf>
    <xf numFmtId="0" fontId="8" fillId="9" borderId="1" xfId="0" applyFont="1" applyFill="1" applyBorder="1" applyAlignment="1">
      <alignment horizontal="center" wrapText="1"/>
    </xf>
    <xf numFmtId="0" fontId="8" fillId="9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3" fillId="5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6" fillId="4" borderId="0" xfId="2" applyNumberFormat="1" applyFont="1" applyFill="1" applyBorder="1" applyAlignment="1">
      <alignment horizontal="center" vertical="center" wrapText="1"/>
    </xf>
    <xf numFmtId="0" fontId="6" fillId="6" borderId="0" xfId="2" applyNumberFormat="1" applyFont="1" applyFill="1" applyBorder="1" applyAlignment="1">
      <alignment horizontal="center" vertical="center" wrapText="1"/>
    </xf>
    <xf numFmtId="0" fontId="6" fillId="7" borderId="0" xfId="2" applyNumberFormat="1" applyFont="1" applyFill="1" applyBorder="1" applyAlignment="1">
      <alignment horizontal="center" vertical="center" wrapText="1"/>
    </xf>
    <xf numFmtId="0" fontId="6" fillId="5" borderId="1" xfId="2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2" fillId="4" borderId="0" xfId="0" applyNumberFormat="1" applyFont="1" applyFill="1" applyBorder="1" applyAlignment="1">
      <alignment horizontal="center" wrapText="1"/>
    </xf>
    <xf numFmtId="164" fontId="2" fillId="6" borderId="0" xfId="0" applyNumberFormat="1" applyFont="1" applyFill="1" applyBorder="1" applyAlignment="1">
      <alignment horizontal="center" wrapText="1"/>
    </xf>
    <xf numFmtId="164" fontId="2" fillId="8" borderId="1" xfId="0" applyNumberFormat="1" applyFont="1" applyFill="1" applyBorder="1" applyAlignment="1">
      <alignment horizontal="center" wrapText="1"/>
    </xf>
    <xf numFmtId="164" fontId="2" fillId="8" borderId="5" xfId="0" applyNumberFormat="1" applyFont="1" applyFill="1" applyBorder="1" applyAlignment="1">
      <alignment horizontal="center" wrapText="1"/>
    </xf>
    <xf numFmtId="14" fontId="2" fillId="2" borderId="0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0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20" fontId="1" fillId="9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4" borderId="0" xfId="0" applyNumberFormat="1" applyFont="1" applyFill="1" applyBorder="1" applyAlignment="1">
      <alignment wrapText="1"/>
    </xf>
    <xf numFmtId="164" fontId="1" fillId="6" borderId="0" xfId="0" applyNumberFormat="1" applyFont="1" applyFill="1" applyBorder="1" applyAlignment="1">
      <alignment wrapText="1"/>
    </xf>
    <xf numFmtId="1" fontId="1" fillId="8" borderId="1" xfId="0" applyNumberFormat="1" applyFont="1" applyFill="1" applyBorder="1" applyAlignment="1">
      <alignment wrapText="1"/>
    </xf>
    <xf numFmtId="20" fontId="1" fillId="0" borderId="0" xfId="0" applyNumberFormat="1" applyFont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0" borderId="0" xfId="0" applyFont="1" applyBorder="1"/>
    <xf numFmtId="0" fontId="1" fillId="4" borderId="0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0" fontId="1" fillId="6" borderId="0" xfId="0" applyFont="1" applyFill="1" applyBorder="1" applyAlignment="1">
      <alignment wrapText="1"/>
    </xf>
    <xf numFmtId="0" fontId="1" fillId="7" borderId="0" xfId="0" applyFont="1" applyFill="1" applyBorder="1" applyAlignment="1">
      <alignment wrapText="1"/>
    </xf>
    <xf numFmtId="0" fontId="1" fillId="11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10" borderId="4" xfId="0" applyFont="1" applyFill="1" applyBorder="1" applyAlignment="1">
      <alignment horizontal="center" wrapText="1"/>
    </xf>
    <xf numFmtId="166" fontId="1" fillId="2" borderId="4" xfId="1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0" borderId="4" xfId="0" applyFont="1" applyBorder="1"/>
    <xf numFmtId="1" fontId="1" fillId="4" borderId="0" xfId="0" applyNumberFormat="1" applyFont="1" applyFill="1" applyBorder="1" applyAlignment="1">
      <alignment wrapText="1"/>
    </xf>
    <xf numFmtId="1" fontId="1" fillId="5" borderId="0" xfId="0" applyNumberFormat="1" applyFont="1" applyFill="1" applyBorder="1" applyAlignment="1">
      <alignment wrapText="1"/>
    </xf>
    <xf numFmtId="1" fontId="1" fillId="6" borderId="0" xfId="0" applyNumberFormat="1" applyFont="1" applyFill="1" applyBorder="1" applyAlignment="1">
      <alignment wrapText="1"/>
    </xf>
    <xf numFmtId="1" fontId="1" fillId="7" borderId="0" xfId="0" applyNumberFormat="1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0" fontId="1" fillId="7" borderId="0" xfId="0" applyFont="1" applyFill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7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9" fillId="4" borderId="0" xfId="2" applyNumberFormat="1" applyFont="1" applyFill="1" applyBorder="1" applyAlignment="1">
      <alignment horizontal="center" vertical="center"/>
    </xf>
    <xf numFmtId="0" fontId="9" fillId="6" borderId="0" xfId="2" applyNumberFormat="1" applyFont="1" applyFill="1" applyBorder="1" applyAlignment="1">
      <alignment horizontal="center" vertical="center"/>
    </xf>
    <xf numFmtId="0" fontId="9" fillId="7" borderId="0" xfId="2" applyNumberFormat="1" applyFont="1" applyFill="1" applyBorder="1" applyAlignment="1">
      <alignment horizontal="center" vertical="center"/>
    </xf>
    <xf numFmtId="164" fontId="1" fillId="7" borderId="0" xfId="0" applyNumberFormat="1" applyFont="1" applyFill="1" applyBorder="1" applyAlignment="1">
      <alignment wrapText="1"/>
    </xf>
    <xf numFmtId="164" fontId="2" fillId="7" borderId="0" xfId="0" applyNumberFormat="1" applyFont="1" applyFill="1" applyBorder="1" applyAlignment="1">
      <alignment horizontal="center" wrapText="1"/>
    </xf>
    <xf numFmtId="165" fontId="1" fillId="5" borderId="0" xfId="0" applyNumberFormat="1" applyFont="1" applyFill="1" applyBorder="1" applyAlignment="1">
      <alignment wrapText="1"/>
    </xf>
    <xf numFmtId="3" fontId="2" fillId="5" borderId="0" xfId="0" applyNumberFormat="1" applyFont="1" applyFill="1" applyBorder="1" applyAlignment="1">
      <alignment horizontal="center" wrapText="1"/>
    </xf>
    <xf numFmtId="167" fontId="0" fillId="5" borderId="0" xfId="0" applyNumberFormat="1" applyFill="1" applyBorder="1"/>
    <xf numFmtId="164" fontId="8" fillId="9" borderId="0" xfId="0" applyNumberFormat="1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wrapText="1"/>
    </xf>
    <xf numFmtId="0" fontId="9" fillId="7" borderId="0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9" fillId="5" borderId="1" xfId="2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8" fillId="9" borderId="6" xfId="0" applyFont="1" applyFill="1" applyBorder="1" applyAlignment="1">
      <alignment horizontal="center" wrapText="1"/>
    </xf>
    <xf numFmtId="0" fontId="8" fillId="9" borderId="4" xfId="0" applyFont="1" applyFill="1" applyBorder="1" applyAlignment="1">
      <alignment horizontal="center" wrapText="1"/>
    </xf>
    <xf numFmtId="0" fontId="8" fillId="9" borderId="5" xfId="0" applyFont="1" applyFill="1" applyBorder="1" applyAlignment="1">
      <alignment horizontal="center" wrapText="1"/>
    </xf>
    <xf numFmtId="0" fontId="1" fillId="0" borderId="6" xfId="0" applyFont="1" applyBorder="1"/>
    <xf numFmtId="0" fontId="1" fillId="0" borderId="5" xfId="0" applyFont="1" applyBorder="1"/>
    <xf numFmtId="0" fontId="1" fillId="4" borderId="8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7" borderId="9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5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2" fillId="6" borderId="8" xfId="2" applyNumberFormat="1" applyFont="1" applyFill="1" applyBorder="1" applyAlignment="1">
      <alignment horizontal="center" wrapText="1"/>
    </xf>
    <xf numFmtId="0" fontId="12" fillId="6" borderId="0" xfId="2" applyNumberFormat="1" applyFont="1" applyFill="1" applyBorder="1" applyAlignment="1">
      <alignment horizontal="center" wrapText="1"/>
    </xf>
    <xf numFmtId="0" fontId="12" fillId="6" borderId="4" xfId="2" applyNumberFormat="1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4" borderId="8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vertical="top" wrapText="1"/>
    </xf>
    <xf numFmtId="0" fontId="2" fillId="10" borderId="0" xfId="0" applyFont="1" applyFill="1" applyBorder="1" applyAlignment="1">
      <alignment horizontal="center" vertical="top" wrapText="1"/>
    </xf>
    <xf numFmtId="0" fontId="2" fillId="10" borderId="6" xfId="0" applyFont="1" applyFill="1" applyBorder="1" applyAlignment="1">
      <alignment horizontal="center" vertical="top" wrapText="1"/>
    </xf>
    <xf numFmtId="0" fontId="2" fillId="10" borderId="4" xfId="0" applyFont="1" applyFill="1" applyBorder="1" applyAlignment="1">
      <alignment horizontal="center" vertical="top" wrapText="1"/>
    </xf>
    <xf numFmtId="0" fontId="2" fillId="9" borderId="7" xfId="0" applyFont="1" applyFill="1" applyBorder="1" applyAlignment="1">
      <alignment horizontal="center" wrapText="1"/>
    </xf>
    <xf numFmtId="0" fontId="2" fillId="9" borderId="8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2" fillId="9" borderId="0" xfId="0" applyFont="1" applyFill="1" applyBorder="1" applyAlignment="1">
      <alignment horizontal="center" wrapText="1"/>
    </xf>
    <xf numFmtId="0" fontId="2" fillId="9" borderId="6" xfId="0" applyFont="1" applyFill="1" applyBorder="1" applyAlignment="1">
      <alignment horizontal="center" wrapText="1"/>
    </xf>
    <xf numFmtId="0" fontId="2" fillId="9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center" wrapText="1"/>
    </xf>
    <xf numFmtId="0" fontId="10" fillId="6" borderId="0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6" fillId="7" borderId="0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wrapText="1"/>
    </xf>
    <xf numFmtId="0" fontId="10" fillId="7" borderId="0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13" fillId="6" borderId="0" xfId="2" applyNumberFormat="1" applyFont="1" applyFill="1" applyBorder="1" applyAlignment="1">
      <alignment horizontal="center" vertical="center"/>
    </xf>
    <xf numFmtId="0" fontId="13" fillId="4" borderId="0" xfId="2" applyNumberFormat="1" applyFont="1" applyFill="1" applyBorder="1" applyAlignment="1">
      <alignment horizontal="center" vertical="center"/>
    </xf>
    <xf numFmtId="0" fontId="13" fillId="7" borderId="0" xfId="2" applyNumberFormat="1" applyFont="1" applyFill="1" applyBorder="1" applyAlignment="1">
      <alignment horizontal="center" vertical="center"/>
    </xf>
    <xf numFmtId="0" fontId="13" fillId="5" borderId="0" xfId="2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5" fillId="4" borderId="0" xfId="2" applyNumberFormat="1" applyFont="1" applyFill="1" applyBorder="1" applyAlignment="1">
      <alignment wrapText="1"/>
    </xf>
    <xf numFmtId="0" fontId="5" fillId="6" borderId="0" xfId="2" applyNumberFormat="1" applyFont="1" applyFill="1" applyBorder="1" applyAlignment="1">
      <alignment wrapText="1"/>
    </xf>
    <xf numFmtId="0" fontId="5" fillId="7" borderId="0" xfId="2" applyNumberFormat="1" applyFont="1" applyFill="1" applyBorder="1" applyAlignment="1">
      <alignment wrapText="1"/>
    </xf>
    <xf numFmtId="0" fontId="5" fillId="5" borderId="0" xfId="2" applyNumberFormat="1" applyFont="1" applyFill="1" applyBorder="1" applyAlignment="1">
      <alignment wrapText="1"/>
    </xf>
    <xf numFmtId="0" fontId="5" fillId="4" borderId="0" xfId="2" applyNumberFormat="1" applyFont="1" applyFill="1" applyBorder="1" applyAlignment="1">
      <alignment horizontal="left"/>
    </xf>
    <xf numFmtId="168" fontId="5" fillId="11" borderId="0" xfId="2" applyNumberFormat="1" applyFont="1" applyFill="1" applyBorder="1" applyAlignment="1">
      <alignment horizontal="left"/>
    </xf>
    <xf numFmtId="168" fontId="5" fillId="12" borderId="0" xfId="2" applyNumberFormat="1" applyFont="1" applyFill="1" applyBorder="1" applyAlignment="1">
      <alignment horizontal="left"/>
    </xf>
    <xf numFmtId="0" fontId="5" fillId="9" borderId="0" xfId="2" applyNumberFormat="1" applyFont="1" applyFill="1" applyBorder="1" applyAlignment="1">
      <alignment wrapText="1"/>
    </xf>
    <xf numFmtId="0" fontId="14" fillId="2" borderId="0" xfId="2" applyNumberFormat="1" applyFont="1" applyFill="1" applyBorder="1" applyAlignment="1">
      <alignment horizontal="center" vertical="center"/>
    </xf>
    <xf numFmtId="0" fontId="14" fillId="9" borderId="0" xfId="2" applyNumberFormat="1" applyFont="1" applyFill="1" applyBorder="1" applyAlignment="1">
      <alignment horizontal="center" vertical="center"/>
    </xf>
    <xf numFmtId="0" fontId="14" fillId="4" borderId="0" xfId="2" applyNumberFormat="1" applyFont="1" applyFill="1" applyBorder="1" applyAlignment="1">
      <alignment horizontal="center" vertical="center"/>
    </xf>
    <xf numFmtId="0" fontId="14" fillId="6" borderId="0" xfId="2" applyNumberFormat="1" applyFont="1" applyFill="1" applyBorder="1" applyAlignment="1">
      <alignment horizontal="center" vertical="center"/>
    </xf>
    <xf numFmtId="0" fontId="14" fillId="7" borderId="0" xfId="2" applyNumberFormat="1" applyFont="1" applyFill="1" applyBorder="1" applyAlignment="1">
      <alignment horizontal="center" vertical="center"/>
    </xf>
    <xf numFmtId="0" fontId="14" fillId="5" borderId="0" xfId="2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2" fillId="4" borderId="0" xfId="0" applyNumberFormat="1" applyFont="1" applyFill="1" applyBorder="1" applyAlignment="1">
      <alignment horizontal="center" wrapText="1"/>
    </xf>
    <xf numFmtId="164" fontId="2" fillId="6" borderId="0" xfId="0" applyNumberFormat="1" applyFont="1" applyFill="1" applyBorder="1" applyAlignment="1">
      <alignment horizontal="center" wrapText="1"/>
    </xf>
    <xf numFmtId="164" fontId="2" fillId="8" borderId="1" xfId="0" applyNumberFormat="1" applyFont="1" applyFill="1" applyBorder="1" applyAlignment="1">
      <alignment horizontal="center" wrapText="1"/>
    </xf>
    <xf numFmtId="164" fontId="2" fillId="8" borderId="5" xfId="0" applyNumberFormat="1" applyFont="1" applyFill="1" applyBorder="1" applyAlignment="1">
      <alignment horizontal="center" wrapText="1"/>
    </xf>
    <xf numFmtId="14" fontId="2" fillId="2" borderId="0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wrapText="1"/>
    </xf>
    <xf numFmtId="0" fontId="0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3" borderId="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15" fillId="13" borderId="0" xfId="0" applyFont="1" applyFill="1" applyBorder="1" applyAlignment="1">
      <alignment horizontal="center"/>
    </xf>
    <xf numFmtId="0" fontId="0" fillId="13" borderId="0" xfId="0" applyFill="1" applyBorder="1"/>
    <xf numFmtId="0" fontId="0" fillId="13" borderId="0" xfId="0" applyFill="1"/>
    <xf numFmtId="0" fontId="0" fillId="0" borderId="3" xfId="0" applyFont="1" applyBorder="1" applyAlignment="1">
      <alignment horizontal="center" wrapText="1"/>
    </xf>
  </cellXfs>
  <cellStyles count="3">
    <cellStyle name="Prozent" xfId="1" builtinId="5"/>
    <cellStyle name="Standard" xfId="0" builtinId="0"/>
    <cellStyle name="Standard 2" xfId="2"/>
  </cellStyles>
  <dxfs count="43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56"/>
  <sheetViews>
    <sheetView tabSelected="1" topLeftCell="M1" workbookViewId="0">
      <selection activeCell="R31" sqref="R31"/>
    </sheetView>
  </sheetViews>
  <sheetFormatPr baseColWidth="10" defaultRowHeight="15" x14ac:dyDescent="0.25"/>
  <cols>
    <col min="1" max="1" width="11.42578125" style="45"/>
    <col min="2" max="2" width="5.5703125" style="45" customWidth="1"/>
    <col min="3" max="3" width="40.140625" style="45" customWidth="1"/>
    <col min="4" max="4" width="6.5703125" style="45" customWidth="1"/>
    <col min="5" max="5" width="8.5703125" style="45" customWidth="1"/>
    <col min="6" max="6" width="6.5703125" style="45" customWidth="1"/>
    <col min="7" max="7" width="7.7109375" style="45" customWidth="1"/>
    <col min="8" max="8" width="7.5703125" style="45" customWidth="1"/>
    <col min="9" max="9" width="6.42578125" style="50" customWidth="1"/>
    <col min="10" max="10" width="7.140625" style="68" customWidth="1"/>
    <col min="11" max="11" width="7.42578125" style="54" customWidth="1"/>
    <col min="12" max="12" width="7.85546875" style="69" customWidth="1"/>
    <col min="13" max="13" width="7.7109375" style="70" customWidth="1"/>
    <col min="14" max="14" width="13.140625" style="71" customWidth="1"/>
    <col min="15" max="15" width="11.7109375" style="71" customWidth="1"/>
    <col min="16" max="16" width="17.28515625" style="68" customWidth="1"/>
    <col min="17" max="17" width="11.42578125" style="72"/>
    <col min="18" max="18" width="24.85546875" style="73" customWidth="1"/>
    <col min="19" max="19" width="16.140625" style="8" customWidth="1"/>
    <col min="20" max="20" width="14.7109375" style="8" customWidth="1"/>
    <col min="21" max="21" width="15.140625" style="8" customWidth="1"/>
    <col min="22" max="22" width="10.85546875" style="10" customWidth="1"/>
    <col min="23" max="23" width="19.85546875" style="42" customWidth="1"/>
    <col min="24" max="24" width="16.5703125" style="43" customWidth="1"/>
    <col min="25" max="16384" width="11.42578125" style="41"/>
  </cols>
  <sheetData>
    <row r="1" spans="1:24" ht="21" customHeight="1" x14ac:dyDescent="0.35">
      <c r="A1" s="145" t="s">
        <v>0</v>
      </c>
      <c r="B1" s="145"/>
      <c r="C1" s="145"/>
      <c r="D1" s="145"/>
      <c r="E1" s="145"/>
      <c r="F1" s="145"/>
      <c r="G1" s="145"/>
      <c r="H1" s="145"/>
      <c r="I1" s="146"/>
      <c r="J1" s="147" t="s">
        <v>1</v>
      </c>
      <c r="K1" s="145"/>
      <c r="L1" s="145"/>
      <c r="M1" s="146"/>
      <c r="N1" s="147" t="s">
        <v>2</v>
      </c>
      <c r="O1" s="145"/>
      <c r="P1" s="145"/>
      <c r="Q1" s="146"/>
      <c r="R1" s="40" t="s">
        <v>3</v>
      </c>
      <c r="S1" s="152" t="s">
        <v>49</v>
      </c>
      <c r="T1" s="153"/>
      <c r="U1" s="153"/>
      <c r="V1" s="154"/>
      <c r="W1" s="148" t="s">
        <v>4</v>
      </c>
      <c r="X1" s="149"/>
    </row>
    <row r="2" spans="1:24" ht="18.75" customHeight="1" x14ac:dyDescent="0.3">
      <c r="A2" s="20" t="s">
        <v>5</v>
      </c>
      <c r="B2" s="20" t="s">
        <v>6</v>
      </c>
      <c r="C2" s="20" t="s">
        <v>7</v>
      </c>
      <c r="D2" s="20" t="s">
        <v>8</v>
      </c>
      <c r="E2" s="21" t="s">
        <v>73</v>
      </c>
      <c r="F2" s="23" t="s">
        <v>9</v>
      </c>
      <c r="G2" s="24" t="s">
        <v>10</v>
      </c>
      <c r="H2" s="22" t="s">
        <v>11</v>
      </c>
      <c r="I2" s="25" t="s">
        <v>12</v>
      </c>
      <c r="J2" s="26" t="s">
        <v>47</v>
      </c>
      <c r="K2" s="27" t="s">
        <v>46</v>
      </c>
      <c r="L2" s="28" t="s">
        <v>12</v>
      </c>
      <c r="M2" s="29" t="s">
        <v>45</v>
      </c>
      <c r="N2" s="150" t="s">
        <v>13</v>
      </c>
      <c r="O2" s="151"/>
      <c r="P2" s="18" t="s">
        <v>14</v>
      </c>
      <c r="Q2" s="19" t="s">
        <v>15</v>
      </c>
      <c r="R2" s="11" t="s">
        <v>16</v>
      </c>
      <c r="S2" s="155" t="s">
        <v>50</v>
      </c>
      <c r="T2" s="156"/>
      <c r="U2" s="156"/>
      <c r="V2" s="157"/>
    </row>
    <row r="3" spans="1:24" ht="15" customHeight="1" x14ac:dyDescent="0.25">
      <c r="A3" s="30">
        <f>DATE(2011,6,23)</f>
        <v>40717</v>
      </c>
      <c r="B3" s="44">
        <v>0.4375</v>
      </c>
      <c r="C3" s="212" t="s">
        <v>83</v>
      </c>
      <c r="D3" s="45">
        <v>2</v>
      </c>
      <c r="E3" s="46">
        <f>(D3*80.73)</f>
        <v>161.46</v>
      </c>
      <c r="F3" s="47">
        <f>(D3*3.9)</f>
        <v>7.8</v>
      </c>
      <c r="G3" s="77">
        <f>(D3*6.37)</f>
        <v>12.74</v>
      </c>
      <c r="H3" s="79">
        <f>(D3*1.209)</f>
        <v>2.4180000000000001</v>
      </c>
      <c r="I3" s="48">
        <v>10</v>
      </c>
      <c r="J3" s="117"/>
      <c r="K3" s="120"/>
      <c r="L3" s="123"/>
      <c r="M3" s="126"/>
      <c r="N3" s="135" t="s">
        <v>17</v>
      </c>
      <c r="O3" s="136"/>
      <c r="P3" s="95" t="s">
        <v>48</v>
      </c>
      <c r="Q3" s="98" t="s">
        <v>18</v>
      </c>
      <c r="R3" s="100" t="s">
        <v>19</v>
      </c>
      <c r="S3" s="158" t="s">
        <v>54</v>
      </c>
      <c r="T3" s="159"/>
      <c r="U3" s="159"/>
      <c r="V3" s="160"/>
      <c r="W3" s="42">
        <v>4.0999999999999996</v>
      </c>
      <c r="X3" s="211" t="s">
        <v>74</v>
      </c>
    </row>
    <row r="4" spans="1:24" ht="15" customHeight="1" x14ac:dyDescent="0.25">
      <c r="B4" s="49">
        <v>0.4375</v>
      </c>
      <c r="C4" s="45" t="s">
        <v>20</v>
      </c>
      <c r="D4" s="45">
        <v>150</v>
      </c>
      <c r="E4" s="46">
        <f>(D4*0.71)</f>
        <v>106.5</v>
      </c>
      <c r="F4" s="47">
        <f>(D4*0.111)</f>
        <v>16.649999999999999</v>
      </c>
      <c r="G4" s="77">
        <f>(D4*0.009)</f>
        <v>1.3499999999999999</v>
      </c>
      <c r="H4" s="79">
        <f>(D4*0.044)</f>
        <v>6.6</v>
      </c>
      <c r="J4" s="117"/>
      <c r="K4" s="120"/>
      <c r="L4" s="123"/>
      <c r="M4" s="126"/>
      <c r="N4" s="135"/>
      <c r="O4" s="136"/>
      <c r="P4" s="95"/>
      <c r="Q4" s="98"/>
      <c r="R4" s="100"/>
      <c r="S4" s="74" t="s">
        <v>51</v>
      </c>
      <c r="T4" s="75" t="s">
        <v>10</v>
      </c>
      <c r="U4" s="76" t="s">
        <v>52</v>
      </c>
      <c r="V4" s="87" t="s">
        <v>53</v>
      </c>
      <c r="W4" s="42">
        <v>9.1</v>
      </c>
      <c r="X4" s="211" t="s">
        <v>75</v>
      </c>
    </row>
    <row r="5" spans="1:24" ht="15" customHeight="1" x14ac:dyDescent="0.25">
      <c r="B5" s="49">
        <v>0.52708333333333335</v>
      </c>
      <c r="C5" s="45" t="s">
        <v>21</v>
      </c>
      <c r="D5" s="45">
        <v>200</v>
      </c>
      <c r="E5" s="46">
        <f>(D5*0.88)</f>
        <v>176</v>
      </c>
      <c r="F5" s="47">
        <f>(D5*0.029)</f>
        <v>5.8000000000000007</v>
      </c>
      <c r="G5" s="77">
        <f>(D5*0.026)</f>
        <v>5.2</v>
      </c>
      <c r="H5" s="79">
        <f>(D5*0.132)</f>
        <v>26.400000000000002</v>
      </c>
      <c r="J5" s="117"/>
      <c r="K5" s="120"/>
      <c r="L5" s="123"/>
      <c r="M5" s="126"/>
      <c r="N5" s="135"/>
      <c r="O5" s="136"/>
      <c r="P5" s="95"/>
      <c r="Q5" s="98"/>
      <c r="R5" s="100"/>
      <c r="S5" s="51">
        <f>AVERAGE(J:J)</f>
        <v>79.7</v>
      </c>
      <c r="T5" s="51">
        <f>AVERAGE(K:K)</f>
        <v>15.3</v>
      </c>
      <c r="U5" s="51">
        <f>AVERAGE(L:L)</f>
        <v>56.5</v>
      </c>
      <c r="V5" s="88">
        <f>AVERAGE(M:M)</f>
        <v>43.5</v>
      </c>
      <c r="W5" s="42">
        <v>4.0999999999999996</v>
      </c>
      <c r="X5" s="211" t="s">
        <v>76</v>
      </c>
    </row>
    <row r="6" spans="1:24" ht="15" customHeight="1" x14ac:dyDescent="0.25">
      <c r="B6" s="49">
        <v>0.6020833333333333</v>
      </c>
      <c r="C6" s="45" t="s">
        <v>22</v>
      </c>
      <c r="D6" s="45">
        <v>162</v>
      </c>
      <c r="E6" s="46">
        <f>(D6*54/100)</f>
        <v>87.48</v>
      </c>
      <c r="F6" s="47">
        <f>(D6*0.3/100)</f>
        <v>0.48599999999999999</v>
      </c>
      <c r="G6" s="77">
        <f>(D6*0.4/100)</f>
        <v>0.64800000000000002</v>
      </c>
      <c r="H6" s="79">
        <f>(D6*11.4/100)</f>
        <v>18.468</v>
      </c>
      <c r="J6" s="117"/>
      <c r="K6" s="120"/>
      <c r="L6" s="123"/>
      <c r="M6" s="126"/>
      <c r="N6" s="135"/>
      <c r="O6" s="136"/>
      <c r="P6" s="95"/>
      <c r="Q6" s="98"/>
      <c r="R6" s="100"/>
      <c r="S6" s="158" t="s">
        <v>55</v>
      </c>
      <c r="T6" s="159"/>
      <c r="U6" s="159"/>
      <c r="V6" s="160"/>
      <c r="W6" s="42">
        <f>(F20*4.1)</f>
        <v>750.22025499999995</v>
      </c>
      <c r="X6" s="211" t="s">
        <v>77</v>
      </c>
    </row>
    <row r="7" spans="1:24" ht="15" customHeight="1" x14ac:dyDescent="0.25">
      <c r="B7" s="49">
        <v>0.625</v>
      </c>
      <c r="C7" s="45" t="s">
        <v>23</v>
      </c>
      <c r="D7" s="45">
        <v>183.5</v>
      </c>
      <c r="E7" s="46">
        <f>(D7*0.63)</f>
        <v>115.605</v>
      </c>
      <c r="F7" s="47">
        <f>(D7*0.017)</f>
        <v>3.1195000000000004</v>
      </c>
      <c r="G7" s="77">
        <f>(D7*0.006)</f>
        <v>1.101</v>
      </c>
      <c r="H7" s="79">
        <f>(D7*0.126)</f>
        <v>23.120999999999999</v>
      </c>
      <c r="J7" s="117"/>
      <c r="K7" s="120"/>
      <c r="L7" s="123"/>
      <c r="M7" s="126"/>
      <c r="N7" s="135"/>
      <c r="O7" s="136"/>
      <c r="P7" s="95"/>
      <c r="Q7" s="98"/>
      <c r="R7" s="100"/>
      <c r="S7" s="74" t="s">
        <v>51</v>
      </c>
      <c r="T7" s="75" t="s">
        <v>10</v>
      </c>
      <c r="U7" s="76" t="s">
        <v>52</v>
      </c>
      <c r="V7" s="87" t="s">
        <v>53</v>
      </c>
      <c r="W7" s="42">
        <f>(G20*9.3)</f>
        <v>716.99884500000007</v>
      </c>
      <c r="X7" s="211" t="s">
        <v>78</v>
      </c>
    </row>
    <row r="8" spans="1:24" ht="15" customHeight="1" x14ac:dyDescent="0.25">
      <c r="B8" s="49">
        <v>0.625</v>
      </c>
      <c r="C8" s="45" t="s">
        <v>24</v>
      </c>
      <c r="D8" s="45">
        <v>128.5</v>
      </c>
      <c r="E8" s="46">
        <f>(D8*0.19)</f>
        <v>24.414999999999999</v>
      </c>
      <c r="F8" s="47">
        <f>(D8*0.0203)</f>
        <v>2.6085499999999997</v>
      </c>
      <c r="G8" s="77">
        <f>(D8*0.0029)</f>
        <v>0.37264999999999998</v>
      </c>
      <c r="H8" s="79">
        <f>(D8*0.0225)</f>
        <v>2.8912499999999999</v>
      </c>
      <c r="J8" s="117"/>
      <c r="K8" s="120"/>
      <c r="L8" s="123"/>
      <c r="M8" s="126"/>
      <c r="N8" s="135"/>
      <c r="O8" s="136"/>
      <c r="P8" s="95"/>
      <c r="Q8" s="98"/>
      <c r="R8" s="100"/>
      <c r="S8" s="51">
        <f>MAX(J:J)</f>
        <v>79.7</v>
      </c>
      <c r="T8" s="51">
        <f>MAX(K:K)</f>
        <v>15.3</v>
      </c>
      <c r="U8" s="51">
        <f>MAX(L:L)</f>
        <v>56.5</v>
      </c>
      <c r="V8" s="88">
        <f>MAX(M:M)</f>
        <v>43.5</v>
      </c>
      <c r="W8" s="42">
        <f>(H20*4.1)</f>
        <v>1234.2035249999999</v>
      </c>
      <c r="X8" s="211" t="s">
        <v>79</v>
      </c>
    </row>
    <row r="9" spans="1:24" ht="15" customHeight="1" x14ac:dyDescent="0.25">
      <c r="B9" s="49">
        <v>0.625</v>
      </c>
      <c r="C9" s="45" t="s">
        <v>25</v>
      </c>
      <c r="D9" s="45">
        <v>62.5</v>
      </c>
      <c r="E9" s="46">
        <f>(D9*42/100)</f>
        <v>26.25</v>
      </c>
      <c r="F9" s="47">
        <f>(D9*4.1/100)</f>
        <v>2.5625</v>
      </c>
      <c r="G9" s="77">
        <f>(D9*1/100)</f>
        <v>0.625</v>
      </c>
      <c r="H9" s="79">
        <f>(D9*4.2/100)</f>
        <v>2.625</v>
      </c>
      <c r="J9" s="117"/>
      <c r="K9" s="120"/>
      <c r="L9" s="123"/>
      <c r="M9" s="126"/>
      <c r="N9" s="135"/>
      <c r="O9" s="136"/>
      <c r="P9" s="95"/>
      <c r="Q9" s="98"/>
      <c r="R9" s="100"/>
      <c r="S9" s="158" t="s">
        <v>56</v>
      </c>
      <c r="T9" s="159"/>
      <c r="U9" s="159"/>
      <c r="V9" s="160"/>
      <c r="W9" s="42">
        <f>SUM(W6:W8)</f>
        <v>2701.4226250000002</v>
      </c>
      <c r="X9" s="211" t="s">
        <v>80</v>
      </c>
    </row>
    <row r="10" spans="1:24" ht="15" customHeight="1" x14ac:dyDescent="0.25">
      <c r="B10" s="49">
        <v>0.64583333333333337</v>
      </c>
      <c r="C10" s="45" t="s">
        <v>21</v>
      </c>
      <c r="D10" s="45">
        <v>300</v>
      </c>
      <c r="E10" s="46">
        <f>(D10*0.88)</f>
        <v>264</v>
      </c>
      <c r="F10" s="47">
        <f>(D10*0.029)</f>
        <v>8.7000000000000011</v>
      </c>
      <c r="G10" s="77">
        <f>(D10*0.026)</f>
        <v>7.8</v>
      </c>
      <c r="H10" s="79">
        <f>(D10*0.132)</f>
        <v>39.6</v>
      </c>
      <c r="J10" s="117"/>
      <c r="K10" s="120"/>
      <c r="L10" s="123"/>
      <c r="M10" s="126"/>
      <c r="N10" s="135"/>
      <c r="O10" s="136"/>
      <c r="P10" s="95"/>
      <c r="Q10" s="98"/>
      <c r="R10" s="100"/>
      <c r="S10" s="74" t="s">
        <v>51</v>
      </c>
      <c r="T10" s="75" t="s">
        <v>10</v>
      </c>
      <c r="U10" s="76" t="s">
        <v>52</v>
      </c>
      <c r="V10" s="87" t="s">
        <v>53</v>
      </c>
    </row>
    <row r="11" spans="1:24" ht="15" customHeight="1" thickBot="1" x14ac:dyDescent="0.3">
      <c r="B11" s="49">
        <v>0.65277777777777779</v>
      </c>
      <c r="C11" s="45" t="s">
        <v>26</v>
      </c>
      <c r="D11" s="45">
        <v>458</v>
      </c>
      <c r="E11" s="46">
        <f>(D11*45/100)</f>
        <v>206.1</v>
      </c>
      <c r="F11" s="47">
        <f>(D11*0.8/100)</f>
        <v>3.6640000000000001</v>
      </c>
      <c r="G11" s="77">
        <f>(D11*0/100)</f>
        <v>0</v>
      </c>
      <c r="H11" s="79">
        <f>(D11*9.4/100)</f>
        <v>43.052</v>
      </c>
      <c r="J11" s="117"/>
      <c r="K11" s="120"/>
      <c r="L11" s="123"/>
      <c r="M11" s="126"/>
      <c r="N11" s="137"/>
      <c r="O11" s="138"/>
      <c r="P11" s="96"/>
      <c r="Q11" s="99"/>
      <c r="R11" s="100"/>
      <c r="S11" s="92">
        <f>MIN(J:J)</f>
        <v>79.7</v>
      </c>
      <c r="T11" s="63">
        <f>MIN(K:K)</f>
        <v>15.3</v>
      </c>
      <c r="U11" s="63">
        <f>MIN(L:L)</f>
        <v>56.5</v>
      </c>
      <c r="V11" s="93">
        <f>SUM(S11:U11)</f>
        <v>151.5</v>
      </c>
    </row>
    <row r="12" spans="1:24" ht="15" customHeight="1" thickTop="1" x14ac:dyDescent="0.3">
      <c r="B12" s="49">
        <v>0.71875</v>
      </c>
      <c r="C12" s="45" t="s">
        <v>28</v>
      </c>
      <c r="D12" s="45">
        <v>1</v>
      </c>
      <c r="E12" s="46">
        <f>(D12*665)</f>
        <v>665</v>
      </c>
      <c r="F12" s="47">
        <f>(D12*30)</f>
        <v>30</v>
      </c>
      <c r="G12" s="77">
        <f>(D12*30)</f>
        <v>30</v>
      </c>
      <c r="H12" s="79">
        <f>(D12*65)</f>
        <v>65</v>
      </c>
      <c r="J12" s="117"/>
      <c r="K12" s="120"/>
      <c r="L12" s="123"/>
      <c r="M12" s="126"/>
      <c r="N12" s="139"/>
      <c r="O12" s="140"/>
      <c r="P12" s="134" t="s">
        <v>65</v>
      </c>
      <c r="Q12" s="111"/>
      <c r="R12" s="11" t="s">
        <v>27</v>
      </c>
      <c r="S12" s="161" t="s">
        <v>57</v>
      </c>
      <c r="T12" s="162"/>
      <c r="U12" s="162"/>
      <c r="V12" s="163"/>
    </row>
    <row r="13" spans="1:24" ht="15" customHeight="1" x14ac:dyDescent="0.25">
      <c r="B13" s="49">
        <v>0.91180555555555554</v>
      </c>
      <c r="C13" s="45" t="s">
        <v>21</v>
      </c>
      <c r="D13" s="45">
        <v>460</v>
      </c>
      <c r="E13" s="52">
        <f>(D13*0.88)</f>
        <v>404.8</v>
      </c>
      <c r="F13" s="54">
        <f>(D13*0.029)</f>
        <v>13.34</v>
      </c>
      <c r="G13" s="55">
        <f>(D13*0.026)</f>
        <v>11.959999999999999</v>
      </c>
      <c r="H13" s="53">
        <f>(D13*0.132)</f>
        <v>60.720000000000006</v>
      </c>
      <c r="J13" s="117"/>
      <c r="K13" s="120"/>
      <c r="L13" s="123"/>
      <c r="M13" s="126"/>
      <c r="N13" s="141"/>
      <c r="O13" s="142"/>
      <c r="P13" s="109"/>
      <c r="Q13" s="112"/>
      <c r="R13" s="114" t="s">
        <v>29</v>
      </c>
      <c r="S13" s="164" t="s">
        <v>54</v>
      </c>
      <c r="T13" s="165"/>
      <c r="U13" s="165"/>
      <c r="V13" s="166"/>
    </row>
    <row r="14" spans="1:24" ht="15" customHeight="1" x14ac:dyDescent="0.25">
      <c r="A14" s="101" t="s">
        <v>30</v>
      </c>
      <c r="B14" s="101"/>
      <c r="C14" s="56" t="s">
        <v>31</v>
      </c>
      <c r="D14" s="45">
        <v>2</v>
      </c>
      <c r="E14" s="46"/>
      <c r="F14" s="47"/>
      <c r="G14" s="77"/>
      <c r="H14" s="79"/>
      <c r="J14" s="117"/>
      <c r="K14" s="120"/>
      <c r="L14" s="123"/>
      <c r="M14" s="126"/>
      <c r="N14" s="141"/>
      <c r="O14" s="142"/>
      <c r="P14" s="109"/>
      <c r="Q14" s="112"/>
      <c r="R14" s="114"/>
      <c r="S14" s="83" t="s">
        <v>73</v>
      </c>
      <c r="T14" s="84" t="s">
        <v>9</v>
      </c>
      <c r="U14" s="85" t="s">
        <v>10</v>
      </c>
      <c r="V14" s="86" t="s">
        <v>11</v>
      </c>
    </row>
    <row r="15" spans="1:24" ht="15" customHeight="1" x14ac:dyDescent="0.25">
      <c r="A15" s="57"/>
      <c r="B15" s="57"/>
      <c r="C15" s="56" t="s">
        <v>32</v>
      </c>
      <c r="D15" s="45">
        <v>1</v>
      </c>
      <c r="E15" s="46"/>
      <c r="F15" s="47"/>
      <c r="G15" s="77"/>
      <c r="H15" s="79"/>
      <c r="J15" s="117"/>
      <c r="K15" s="120"/>
      <c r="L15" s="123"/>
      <c r="M15" s="126"/>
      <c r="N15" s="141"/>
      <c r="O15" s="142"/>
      <c r="P15" s="109"/>
      <c r="Q15" s="112"/>
      <c r="R15" s="114"/>
      <c r="S15" s="82"/>
      <c r="T15" s="7"/>
      <c r="U15" s="7"/>
      <c r="V15" s="9"/>
    </row>
    <row r="16" spans="1:24" ht="15" customHeight="1" x14ac:dyDescent="0.25">
      <c r="A16" s="57"/>
      <c r="B16" s="57"/>
      <c r="C16" s="56" t="s">
        <v>33</v>
      </c>
      <c r="D16" s="45">
        <v>4</v>
      </c>
      <c r="E16" s="46"/>
      <c r="F16" s="47"/>
      <c r="G16" s="77"/>
      <c r="H16" s="79"/>
      <c r="J16" s="117"/>
      <c r="K16" s="120"/>
      <c r="L16" s="123"/>
      <c r="M16" s="126"/>
      <c r="N16" s="141"/>
      <c r="O16" s="142"/>
      <c r="P16" s="109"/>
      <c r="Q16" s="112"/>
      <c r="R16" s="114"/>
      <c r="S16" s="164" t="s">
        <v>55</v>
      </c>
      <c r="T16" s="165"/>
      <c r="U16" s="165"/>
      <c r="V16" s="166"/>
    </row>
    <row r="17" spans="1:24" ht="15" customHeight="1" x14ac:dyDescent="0.25">
      <c r="A17" s="57"/>
      <c r="B17" s="57"/>
      <c r="C17" s="56" t="s">
        <v>34</v>
      </c>
      <c r="D17" s="45">
        <v>1</v>
      </c>
      <c r="E17" s="46">
        <f>(D17*13)</f>
        <v>13</v>
      </c>
      <c r="F17" s="47">
        <f>(D17*0.25)</f>
        <v>0.25</v>
      </c>
      <c r="G17" s="77">
        <f>(D17*1.3)</f>
        <v>1.3</v>
      </c>
      <c r="H17" s="79">
        <f>(D17*0.13)</f>
        <v>0.13</v>
      </c>
      <c r="J17" s="117"/>
      <c r="K17" s="120"/>
      <c r="L17" s="123"/>
      <c r="M17" s="126"/>
      <c r="N17" s="141"/>
      <c r="O17" s="142"/>
      <c r="P17" s="109"/>
      <c r="Q17" s="112"/>
      <c r="R17" s="114"/>
      <c r="S17" s="83" t="s">
        <v>73</v>
      </c>
      <c r="T17" s="84" t="s">
        <v>9</v>
      </c>
      <c r="U17" s="85" t="s">
        <v>10</v>
      </c>
      <c r="V17" s="86" t="s">
        <v>11</v>
      </c>
    </row>
    <row r="18" spans="1:24" ht="15" customHeight="1" x14ac:dyDescent="0.25">
      <c r="A18" s="57"/>
      <c r="B18" s="57"/>
      <c r="C18" s="56" t="s">
        <v>35</v>
      </c>
      <c r="E18" s="46">
        <f>(D18*11)</f>
        <v>0</v>
      </c>
      <c r="F18" s="47">
        <f>(D18*0.226)</f>
        <v>0</v>
      </c>
      <c r="G18" s="77">
        <f>(D18*1.11)</f>
        <v>0</v>
      </c>
      <c r="H18" s="79">
        <f>(D18*0.135)</f>
        <v>0</v>
      </c>
      <c r="J18" s="117"/>
      <c r="K18" s="120"/>
      <c r="L18" s="123"/>
      <c r="M18" s="126"/>
      <c r="N18" s="141"/>
      <c r="O18" s="142"/>
      <c r="P18" s="109"/>
      <c r="Q18" s="112"/>
      <c r="R18" s="114"/>
      <c r="S18" s="7"/>
      <c r="T18" s="7"/>
      <c r="U18" s="7"/>
      <c r="V18" s="9"/>
    </row>
    <row r="19" spans="1:24" ht="15" customHeight="1" x14ac:dyDescent="0.25">
      <c r="A19" s="57"/>
      <c r="B19" s="57"/>
      <c r="C19" s="56" t="s">
        <v>36</v>
      </c>
      <c r="D19" s="45">
        <v>4</v>
      </c>
      <c r="E19" s="46">
        <f>(D19*108)</f>
        <v>432</v>
      </c>
      <c r="F19" s="47">
        <f>(D19*22)</f>
        <v>88</v>
      </c>
      <c r="G19" s="77">
        <f>(D19*1)</f>
        <v>4</v>
      </c>
      <c r="H19" s="79">
        <f>(D19*2.5)</f>
        <v>10</v>
      </c>
      <c r="J19" s="117"/>
      <c r="K19" s="120"/>
      <c r="L19" s="123"/>
      <c r="M19" s="126"/>
      <c r="N19" s="141"/>
      <c r="O19" s="142"/>
      <c r="P19" s="109"/>
      <c r="Q19" s="112"/>
      <c r="R19" s="114"/>
      <c r="S19" s="165" t="s">
        <v>56</v>
      </c>
      <c r="T19" s="165"/>
      <c r="U19" s="165"/>
      <c r="V19" s="166"/>
      <c r="W19" s="209" t="s">
        <v>70</v>
      </c>
    </row>
    <row r="20" spans="1:24" ht="15" customHeight="1" x14ac:dyDescent="0.25">
      <c r="A20" s="57"/>
      <c r="B20" s="57"/>
      <c r="C20" s="32" t="s">
        <v>37</v>
      </c>
      <c r="D20" s="33"/>
      <c r="E20" s="34">
        <f>SUM(E3:E19)</f>
        <v>2682.61</v>
      </c>
      <c r="F20" s="35">
        <f>SUM(F3:F19)</f>
        <v>182.98054999999999</v>
      </c>
      <c r="G20" s="78">
        <f>SUM(G3:G19)</f>
        <v>77.096649999999997</v>
      </c>
      <c r="H20" s="80">
        <f>SUM(H3:H19)</f>
        <v>301.02525000000003</v>
      </c>
      <c r="I20" s="36">
        <f>(I3/4)</f>
        <v>2.5</v>
      </c>
      <c r="J20" s="117"/>
      <c r="K20" s="120"/>
      <c r="L20" s="123"/>
      <c r="M20" s="126"/>
      <c r="N20" s="141"/>
      <c r="O20" s="142"/>
      <c r="P20" s="109"/>
      <c r="Q20" s="112"/>
      <c r="R20" s="114"/>
      <c r="S20" s="83" t="s">
        <v>73</v>
      </c>
      <c r="T20" s="84" t="s">
        <v>9</v>
      </c>
      <c r="U20" s="85" t="s">
        <v>10</v>
      </c>
      <c r="V20" s="86" t="s">
        <v>11</v>
      </c>
      <c r="W20" s="42" t="b">
        <f>IF(E20&gt;2700,1)</f>
        <v>0</v>
      </c>
    </row>
    <row r="21" spans="1:24" s="63" customFormat="1" ht="15" customHeight="1" thickBot="1" x14ac:dyDescent="0.3">
      <c r="A21" s="58"/>
      <c r="B21" s="58"/>
      <c r="C21" s="208" t="s">
        <v>69</v>
      </c>
      <c r="D21" s="58"/>
      <c r="E21" s="59">
        <f>IF(E20&lt;=2700,2700-E20,2700-E20)</f>
        <v>17.389999999999873</v>
      </c>
      <c r="F21" s="60">
        <f>(W6/W9)</f>
        <v>0.27771302722394275</v>
      </c>
      <c r="G21" s="60">
        <f>(W7/W9)</f>
        <v>0.26541528095775091</v>
      </c>
      <c r="H21" s="60">
        <f>(W8/W9)</f>
        <v>0.45687169181830622</v>
      </c>
      <c r="I21" s="37">
        <f>IF(I20&gt;3,I20-3,I20-3)</f>
        <v>-0.5</v>
      </c>
      <c r="J21" s="118"/>
      <c r="K21" s="121"/>
      <c r="L21" s="124"/>
      <c r="M21" s="127"/>
      <c r="N21" s="143"/>
      <c r="O21" s="144"/>
      <c r="P21" s="110"/>
      <c r="Q21" s="113"/>
      <c r="R21" s="115"/>
      <c r="S21" s="89"/>
      <c r="T21" s="90"/>
      <c r="U21" s="90"/>
      <c r="V21" s="91"/>
      <c r="W21" s="61"/>
      <c r="X21" s="62"/>
    </row>
    <row r="22" spans="1:24" ht="15" customHeight="1" thickTop="1" x14ac:dyDescent="0.3">
      <c r="A22" s="38">
        <f>(A3+1)</f>
        <v>40718</v>
      </c>
      <c r="B22" s="44">
        <v>0.35416666666666669</v>
      </c>
      <c r="C22" s="176" t="s">
        <v>22</v>
      </c>
      <c r="D22" s="176">
        <v>198</v>
      </c>
      <c r="E22" s="181">
        <f>(D22*54/100)</f>
        <v>106.92</v>
      </c>
      <c r="F22" s="183">
        <f>(D22*0.3/100)</f>
        <v>0.59399999999999997</v>
      </c>
      <c r="G22" s="184">
        <f>(D22*0.4/100)</f>
        <v>0.79200000000000004</v>
      </c>
      <c r="H22" s="182">
        <f>(D22*11.4/100)</f>
        <v>22.572000000000003</v>
      </c>
      <c r="I22" s="50">
        <v>4</v>
      </c>
      <c r="J22" s="116">
        <v>79.7</v>
      </c>
      <c r="K22" s="119">
        <v>15.3</v>
      </c>
      <c r="L22" s="122">
        <v>56.5</v>
      </c>
      <c r="M22" s="125">
        <v>43.5</v>
      </c>
      <c r="N22" s="128"/>
      <c r="O22" s="129"/>
      <c r="P22" s="94"/>
      <c r="Q22" s="97"/>
      <c r="R22" s="11" t="s">
        <v>16</v>
      </c>
      <c r="S22" s="167" t="s">
        <v>27</v>
      </c>
      <c r="T22" s="167"/>
      <c r="U22" s="167"/>
      <c r="V22" s="168"/>
      <c r="W22" s="42">
        <v>4.0999999999999996</v>
      </c>
      <c r="X22" s="211" t="s">
        <v>74</v>
      </c>
    </row>
    <row r="23" spans="1:24" ht="15" customHeight="1" x14ac:dyDescent="0.25">
      <c r="B23" s="49">
        <v>0.41666666666666669</v>
      </c>
      <c r="C23" s="210" t="s">
        <v>72</v>
      </c>
      <c r="D23" s="210">
        <v>1</v>
      </c>
      <c r="E23" s="181">
        <f>(D23*642)</f>
        <v>642</v>
      </c>
      <c r="F23" s="183">
        <f>(D23*36.8)</f>
        <v>36.799999999999997</v>
      </c>
      <c r="G23" s="184">
        <f>(D23*30)</f>
        <v>30</v>
      </c>
      <c r="H23" s="182">
        <f>(D23*56.4)</f>
        <v>56.4</v>
      </c>
      <c r="J23" s="117"/>
      <c r="K23" s="120"/>
      <c r="L23" s="123"/>
      <c r="M23" s="126"/>
      <c r="N23" s="130"/>
      <c r="O23" s="131"/>
      <c r="P23" s="95"/>
      <c r="Q23" s="98"/>
      <c r="R23" s="216" t="s">
        <v>87</v>
      </c>
      <c r="S23" s="169" t="s">
        <v>58</v>
      </c>
      <c r="T23" s="170"/>
      <c r="U23" s="170"/>
      <c r="V23" s="171"/>
      <c r="W23" s="42">
        <v>9.1</v>
      </c>
      <c r="X23" s="211" t="s">
        <v>75</v>
      </c>
    </row>
    <row r="24" spans="1:24" ht="15" customHeight="1" x14ac:dyDescent="0.25">
      <c r="B24" s="49">
        <v>0.5</v>
      </c>
      <c r="C24" s="176" t="s">
        <v>20</v>
      </c>
      <c r="D24" s="176">
        <v>150</v>
      </c>
      <c r="E24" s="181">
        <f>(D24*0.71)</f>
        <v>106.5</v>
      </c>
      <c r="F24" s="183">
        <f>(D24*0.111)</f>
        <v>16.649999999999999</v>
      </c>
      <c r="G24" s="199">
        <f>(D24*0.009)</f>
        <v>1.3499999999999999</v>
      </c>
      <c r="H24" s="182">
        <f>(D24*0.044)</f>
        <v>6.6</v>
      </c>
      <c r="J24" s="117"/>
      <c r="K24" s="120"/>
      <c r="L24" s="123"/>
      <c r="M24" s="126"/>
      <c r="N24" s="130"/>
      <c r="O24" s="131"/>
      <c r="P24" s="95"/>
      <c r="Q24" s="98"/>
      <c r="R24" s="114"/>
      <c r="S24" s="83" t="s">
        <v>59</v>
      </c>
      <c r="T24" s="84" t="s">
        <v>60</v>
      </c>
      <c r="U24" s="85" t="s">
        <v>61</v>
      </c>
      <c r="V24" s="86" t="s">
        <v>63</v>
      </c>
      <c r="W24" s="42">
        <v>4.0999999999999996</v>
      </c>
      <c r="X24" s="211" t="s">
        <v>76</v>
      </c>
    </row>
    <row r="25" spans="1:24" ht="15" customHeight="1" x14ac:dyDescent="0.25">
      <c r="B25" s="49">
        <v>0.5625</v>
      </c>
      <c r="C25" s="176" t="s">
        <v>44</v>
      </c>
      <c r="D25" s="176">
        <v>260</v>
      </c>
      <c r="E25" s="181">
        <f>(D25*50/100)</f>
        <v>130</v>
      </c>
      <c r="F25" s="183">
        <f>(D25*1/100)</f>
        <v>2.6</v>
      </c>
      <c r="G25" s="184">
        <f>(D25*0.55/100)</f>
        <v>1.43</v>
      </c>
      <c r="H25" s="182">
        <f>(D25*11.7/100)</f>
        <v>30.42</v>
      </c>
      <c r="J25" s="117"/>
      <c r="K25" s="120"/>
      <c r="L25" s="123"/>
      <c r="M25" s="126"/>
      <c r="N25" s="130"/>
      <c r="O25" s="131"/>
      <c r="P25" s="95"/>
      <c r="Q25" s="98"/>
      <c r="R25" s="114"/>
      <c r="S25" s="82"/>
      <c r="T25" s="7"/>
      <c r="U25" s="7"/>
      <c r="V25" s="9"/>
      <c r="W25" s="42">
        <f>(F37*4.1)</f>
        <v>513.86119999999994</v>
      </c>
      <c r="X25" s="211" t="s">
        <v>77</v>
      </c>
    </row>
    <row r="26" spans="1:24" ht="15" customHeight="1" x14ac:dyDescent="0.25">
      <c r="B26" s="49">
        <v>0.6</v>
      </c>
      <c r="C26" s="176" t="s">
        <v>21</v>
      </c>
      <c r="D26" s="176">
        <v>407</v>
      </c>
      <c r="E26" s="181">
        <f>(D26*0.88)</f>
        <v>358.16</v>
      </c>
      <c r="F26" s="183">
        <f>(D26*0.029)</f>
        <v>11.803000000000001</v>
      </c>
      <c r="G26" s="184">
        <f>(D26*0.026)</f>
        <v>10.581999999999999</v>
      </c>
      <c r="H26" s="182">
        <f>(D26*0.132)</f>
        <v>53.724000000000004</v>
      </c>
      <c r="J26" s="117"/>
      <c r="K26" s="120"/>
      <c r="L26" s="123"/>
      <c r="M26" s="126"/>
      <c r="N26" s="130"/>
      <c r="O26" s="131"/>
      <c r="P26" s="95"/>
      <c r="Q26" s="98"/>
      <c r="R26" s="114"/>
      <c r="S26" s="169" t="s">
        <v>62</v>
      </c>
      <c r="T26" s="170"/>
      <c r="U26" s="170"/>
      <c r="V26" s="171"/>
      <c r="W26" s="42">
        <f>(G37*9.3)</f>
        <v>440.62470000000008</v>
      </c>
      <c r="X26" s="211" t="s">
        <v>78</v>
      </c>
    </row>
    <row r="27" spans="1:24" ht="15" customHeight="1" x14ac:dyDescent="0.25">
      <c r="B27" s="49">
        <v>0.61458333333333337</v>
      </c>
      <c r="C27" s="210" t="s">
        <v>86</v>
      </c>
      <c r="D27" s="210">
        <v>145</v>
      </c>
      <c r="E27" s="181">
        <f>(D27* 37/100)</f>
        <v>53.65</v>
      </c>
      <c r="F27" s="183">
        <f>(D27*1.3/100)</f>
        <v>1.885</v>
      </c>
      <c r="G27" s="184">
        <f>(D27*0.5/100)</f>
        <v>0.72499999999999998</v>
      </c>
      <c r="H27" s="182">
        <f>(D27*6.4/100)</f>
        <v>9.2799999999999994</v>
      </c>
      <c r="J27" s="117"/>
      <c r="K27" s="120"/>
      <c r="L27" s="123"/>
      <c r="M27" s="126"/>
      <c r="N27" s="130"/>
      <c r="O27" s="131"/>
      <c r="P27" s="95"/>
      <c r="Q27" s="98"/>
      <c r="R27" s="114"/>
      <c r="S27" s="83" t="s">
        <v>64</v>
      </c>
      <c r="T27" s="84" t="s">
        <v>6</v>
      </c>
      <c r="U27" s="85" t="s">
        <v>63</v>
      </c>
      <c r="V27" s="86" t="s">
        <v>63</v>
      </c>
      <c r="W27" s="42">
        <f>(H37*4.1)</f>
        <v>759.5086</v>
      </c>
      <c r="X27" s="211" t="s">
        <v>81</v>
      </c>
    </row>
    <row r="28" spans="1:24" ht="15" customHeight="1" x14ac:dyDescent="0.25">
      <c r="E28" s="64"/>
      <c r="F28" s="66"/>
      <c r="G28" s="67"/>
      <c r="H28" s="65"/>
      <c r="J28" s="117"/>
      <c r="K28" s="120"/>
      <c r="L28" s="123"/>
      <c r="M28" s="126"/>
      <c r="N28" s="130"/>
      <c r="O28" s="131"/>
      <c r="P28" s="95"/>
      <c r="Q28" s="98"/>
      <c r="R28" s="114"/>
      <c r="S28" s="7"/>
      <c r="T28" s="7"/>
      <c r="U28" s="7"/>
      <c r="V28" s="9"/>
      <c r="W28" s="42">
        <f>SUM(W25:W27)</f>
        <v>1713.9945</v>
      </c>
      <c r="X28" s="211" t="s">
        <v>82</v>
      </c>
    </row>
    <row r="29" spans="1:24" ht="15" customHeight="1" x14ac:dyDescent="0.25">
      <c r="E29" s="64"/>
      <c r="F29" s="66"/>
      <c r="G29" s="67"/>
      <c r="H29" s="65"/>
      <c r="J29" s="117"/>
      <c r="K29" s="120"/>
      <c r="L29" s="123"/>
      <c r="M29" s="126"/>
      <c r="N29" s="130"/>
      <c r="O29" s="131"/>
      <c r="P29" s="95"/>
      <c r="Q29" s="98"/>
      <c r="R29" s="114"/>
      <c r="S29" s="170" t="s">
        <v>63</v>
      </c>
      <c r="T29" s="170"/>
      <c r="U29" s="170"/>
      <c r="V29" s="171"/>
    </row>
    <row r="30" spans="1:24" ht="15" customHeight="1" thickBot="1" x14ac:dyDescent="0.3">
      <c r="E30" s="64"/>
      <c r="F30" s="66"/>
      <c r="G30" s="67"/>
      <c r="H30" s="65"/>
      <c r="J30" s="117"/>
      <c r="K30" s="120"/>
      <c r="L30" s="123"/>
      <c r="M30" s="126"/>
      <c r="N30" s="132"/>
      <c r="O30" s="133"/>
      <c r="P30" s="96"/>
      <c r="Q30" s="99"/>
      <c r="R30" s="114"/>
      <c r="S30" s="83" t="s">
        <v>63</v>
      </c>
      <c r="T30" s="84" t="s">
        <v>63</v>
      </c>
      <c r="U30" s="85" t="s">
        <v>63</v>
      </c>
      <c r="V30" s="86" t="s">
        <v>63</v>
      </c>
    </row>
    <row r="31" spans="1:24" ht="15" customHeight="1" thickTop="1" thickBot="1" x14ac:dyDescent="0.35">
      <c r="A31" s="101" t="s">
        <v>30</v>
      </c>
      <c r="B31" s="101"/>
      <c r="C31" s="56" t="s">
        <v>31</v>
      </c>
      <c r="E31" s="64"/>
      <c r="F31" s="66"/>
      <c r="G31" s="67"/>
      <c r="H31" s="65"/>
      <c r="J31" s="117"/>
      <c r="K31" s="120"/>
      <c r="L31" s="123"/>
      <c r="M31" s="126"/>
      <c r="N31" s="102"/>
      <c r="O31" s="103"/>
      <c r="P31" s="108"/>
      <c r="Q31" s="111"/>
      <c r="R31" s="11" t="s">
        <v>27</v>
      </c>
      <c r="S31" s="89"/>
      <c r="T31" s="90"/>
      <c r="U31" s="90"/>
      <c r="V31" s="91"/>
    </row>
    <row r="32" spans="1:24" ht="15" customHeight="1" thickTop="1" x14ac:dyDescent="0.25">
      <c r="A32" s="57"/>
      <c r="B32" s="57"/>
      <c r="C32" s="56" t="s">
        <v>32</v>
      </c>
      <c r="E32" s="64"/>
      <c r="F32" s="66"/>
      <c r="G32" s="67"/>
      <c r="H32" s="65"/>
      <c r="J32" s="117"/>
      <c r="K32" s="120"/>
      <c r="L32" s="123"/>
      <c r="M32" s="126"/>
      <c r="N32" s="104"/>
      <c r="O32" s="105"/>
      <c r="P32" s="109"/>
      <c r="Q32" s="112"/>
      <c r="R32" s="114"/>
      <c r="S32" s="7"/>
      <c r="T32" s="7"/>
      <c r="U32" s="7"/>
      <c r="V32" s="9"/>
    </row>
    <row r="33" spans="1:24" ht="15" customHeight="1" x14ac:dyDescent="0.25">
      <c r="A33" s="57"/>
      <c r="B33" s="57"/>
      <c r="C33" s="56" t="s">
        <v>33</v>
      </c>
      <c r="D33" s="45">
        <v>4</v>
      </c>
      <c r="E33" s="64"/>
      <c r="F33" s="66"/>
      <c r="G33" s="67"/>
      <c r="H33" s="65"/>
      <c r="J33" s="117"/>
      <c r="K33" s="120"/>
      <c r="L33" s="123"/>
      <c r="M33" s="126"/>
      <c r="N33" s="104"/>
      <c r="O33" s="105"/>
      <c r="P33" s="109"/>
      <c r="Q33" s="112"/>
      <c r="R33" s="114"/>
      <c r="S33" s="7"/>
      <c r="T33" s="7"/>
      <c r="U33" s="7"/>
      <c r="V33" s="9"/>
    </row>
    <row r="34" spans="1:24" ht="15" customHeight="1" x14ac:dyDescent="0.25">
      <c r="A34" s="57"/>
      <c r="B34" s="57"/>
      <c r="C34" s="56" t="s">
        <v>34</v>
      </c>
      <c r="E34" s="64">
        <f>(D34*13)</f>
        <v>0</v>
      </c>
      <c r="F34" s="66">
        <f>(D34*0.25)</f>
        <v>0</v>
      </c>
      <c r="G34" s="67">
        <f>(D34*1.3)</f>
        <v>0</v>
      </c>
      <c r="H34" s="65">
        <f>(D34*0.13)</f>
        <v>0</v>
      </c>
      <c r="J34" s="117"/>
      <c r="K34" s="120"/>
      <c r="L34" s="123"/>
      <c r="M34" s="126"/>
      <c r="N34" s="104"/>
      <c r="O34" s="105"/>
      <c r="P34" s="109"/>
      <c r="Q34" s="112"/>
      <c r="R34" s="114"/>
      <c r="S34" s="7"/>
      <c r="T34" s="7"/>
      <c r="U34" s="7"/>
      <c r="V34" s="9"/>
    </row>
    <row r="35" spans="1:24" ht="15" customHeight="1" x14ac:dyDescent="0.25">
      <c r="A35" s="57"/>
      <c r="B35" s="57"/>
      <c r="C35" s="56" t="s">
        <v>35</v>
      </c>
      <c r="E35" s="64">
        <f>(D35*11)</f>
        <v>0</v>
      </c>
      <c r="F35" s="66">
        <f>(D35*0.226)</f>
        <v>0</v>
      </c>
      <c r="G35" s="67">
        <f>(D35*1.11)</f>
        <v>0</v>
      </c>
      <c r="H35" s="65">
        <f>(D35*0.135)</f>
        <v>0</v>
      </c>
      <c r="J35" s="117"/>
      <c r="K35" s="120"/>
      <c r="L35" s="123"/>
      <c r="M35" s="126"/>
      <c r="N35" s="104"/>
      <c r="O35" s="105"/>
      <c r="P35" s="109"/>
      <c r="Q35" s="112"/>
      <c r="R35" s="114"/>
      <c r="S35" s="7"/>
      <c r="T35" s="7"/>
      <c r="U35" s="7"/>
      <c r="V35" s="9"/>
    </row>
    <row r="36" spans="1:24" ht="15" customHeight="1" x14ac:dyDescent="0.25">
      <c r="A36" s="57"/>
      <c r="B36" s="57"/>
      <c r="C36" s="56" t="s">
        <v>36</v>
      </c>
      <c r="D36" s="45">
        <v>2.5</v>
      </c>
      <c r="E36" s="64">
        <f>(D36*108)</f>
        <v>270</v>
      </c>
      <c r="F36" s="66">
        <f>(D36*22)</f>
        <v>55</v>
      </c>
      <c r="G36" s="67">
        <f>(D36*1)</f>
        <v>2.5</v>
      </c>
      <c r="H36" s="65">
        <f>(D36*2.5)</f>
        <v>6.25</v>
      </c>
      <c r="J36" s="117"/>
      <c r="K36" s="120"/>
      <c r="L36" s="123"/>
      <c r="M36" s="126"/>
      <c r="N36" s="104"/>
      <c r="O36" s="105"/>
      <c r="P36" s="109"/>
      <c r="Q36" s="112"/>
      <c r="R36" s="114"/>
      <c r="S36" s="7"/>
      <c r="T36" s="7"/>
      <c r="U36" s="7"/>
      <c r="V36" s="9"/>
    </row>
    <row r="37" spans="1:24" ht="15" customHeight="1" x14ac:dyDescent="0.25">
      <c r="A37" s="57"/>
      <c r="B37" s="57"/>
      <c r="C37" s="32" t="s">
        <v>37</v>
      </c>
      <c r="D37" s="33"/>
      <c r="E37" s="34">
        <f>SUM(E22:E36)</f>
        <v>1667.23</v>
      </c>
      <c r="F37" s="35">
        <f>SUM(F22:F36)</f>
        <v>125.33200000000001</v>
      </c>
      <c r="G37" s="78">
        <f>SUM(G22:G36)</f>
        <v>47.379000000000005</v>
      </c>
      <c r="H37" s="80">
        <f>SUM(H22:H36)</f>
        <v>185.24600000000001</v>
      </c>
      <c r="I37" s="36">
        <f>(I22/4)</f>
        <v>1</v>
      </c>
      <c r="J37" s="117"/>
      <c r="K37" s="120"/>
      <c r="L37" s="123"/>
      <c r="M37" s="126"/>
      <c r="N37" s="104"/>
      <c r="O37" s="105"/>
      <c r="P37" s="109"/>
      <c r="Q37" s="112"/>
      <c r="R37" s="114"/>
      <c r="S37" s="7"/>
      <c r="T37" s="7"/>
      <c r="U37" s="7"/>
      <c r="V37" s="9"/>
    </row>
    <row r="38" spans="1:24" s="63" customFormat="1" ht="15" customHeight="1" thickBot="1" x14ac:dyDescent="0.3">
      <c r="A38" s="58"/>
      <c r="B38" s="58"/>
      <c r="C38" s="208" t="s">
        <v>71</v>
      </c>
      <c r="D38" s="58"/>
      <c r="E38" s="39">
        <f>IF(E37&lt;=2700,2700-E37,2700-E37)</f>
        <v>1032.77</v>
      </c>
      <c r="F38" s="60">
        <f>(W25/W28)</f>
        <v>0.29980329575153242</v>
      </c>
      <c r="G38" s="60">
        <f>(W26/W28)</f>
        <v>0.25707474557240417</v>
      </c>
      <c r="H38" s="60">
        <f>(W27/W28)</f>
        <v>0.44312195867606341</v>
      </c>
      <c r="I38" s="37">
        <f>IF(I37&gt;3,I37-3,I37-3)</f>
        <v>-2</v>
      </c>
      <c r="J38" s="118"/>
      <c r="K38" s="121"/>
      <c r="L38" s="124"/>
      <c r="M38" s="127"/>
      <c r="N38" s="106"/>
      <c r="O38" s="107"/>
      <c r="P38" s="110"/>
      <c r="Q38" s="113"/>
      <c r="R38" s="115"/>
      <c r="S38" s="7"/>
      <c r="T38" s="7"/>
      <c r="U38" s="7"/>
      <c r="V38" s="9"/>
      <c r="W38" s="61" t="b">
        <f>IF(E37&gt;2700,1)</f>
        <v>0</v>
      </c>
      <c r="X38" s="62"/>
    </row>
    <row r="39" spans="1:24" ht="15" customHeight="1" thickTop="1" x14ac:dyDescent="0.3">
      <c r="A39" s="206">
        <f>(A22+1)</f>
        <v>40719</v>
      </c>
      <c r="B39" s="44"/>
      <c r="E39" s="64"/>
      <c r="F39" s="66"/>
      <c r="G39" s="67"/>
      <c r="H39" s="65"/>
      <c r="J39" s="116"/>
      <c r="K39" s="119"/>
      <c r="L39" s="122"/>
      <c r="M39" s="125"/>
      <c r="N39" s="128"/>
      <c r="O39" s="129"/>
      <c r="P39" s="94"/>
      <c r="Q39" s="97"/>
      <c r="R39" s="11" t="s">
        <v>16</v>
      </c>
      <c r="S39" s="167" t="s">
        <v>27</v>
      </c>
      <c r="T39" s="167"/>
      <c r="U39" s="167"/>
      <c r="V39" s="168"/>
      <c r="W39" s="42">
        <v>4.0999999999999996</v>
      </c>
      <c r="X39" s="211" t="s">
        <v>74</v>
      </c>
    </row>
    <row r="40" spans="1:24" ht="15" customHeight="1" x14ac:dyDescent="0.25">
      <c r="B40" s="49"/>
      <c r="E40" s="64"/>
      <c r="F40" s="66"/>
      <c r="G40" s="67"/>
      <c r="H40" s="65"/>
      <c r="J40" s="117"/>
      <c r="K40" s="120"/>
      <c r="L40" s="123"/>
      <c r="M40" s="126"/>
      <c r="N40" s="130"/>
      <c r="O40" s="131"/>
      <c r="P40" s="95"/>
      <c r="Q40" s="98"/>
      <c r="R40" s="114"/>
      <c r="S40" s="169" t="s">
        <v>58</v>
      </c>
      <c r="T40" s="170"/>
      <c r="U40" s="170"/>
      <c r="V40" s="171"/>
      <c r="W40" s="42">
        <v>9.1</v>
      </c>
      <c r="X40" s="211" t="s">
        <v>75</v>
      </c>
    </row>
    <row r="41" spans="1:24" ht="15" customHeight="1" x14ac:dyDescent="0.25">
      <c r="B41" s="49"/>
      <c r="E41" s="64"/>
      <c r="F41" s="66"/>
      <c r="G41" s="67"/>
      <c r="H41" s="65"/>
      <c r="J41" s="117"/>
      <c r="K41" s="120"/>
      <c r="L41" s="123"/>
      <c r="M41" s="126"/>
      <c r="N41" s="130"/>
      <c r="O41" s="131"/>
      <c r="P41" s="95"/>
      <c r="Q41" s="98"/>
      <c r="R41" s="114"/>
      <c r="S41" s="83" t="s">
        <v>59</v>
      </c>
      <c r="T41" s="84" t="s">
        <v>60</v>
      </c>
      <c r="U41" s="85" t="s">
        <v>61</v>
      </c>
      <c r="V41" s="86" t="s">
        <v>63</v>
      </c>
      <c r="W41" s="42">
        <v>4.0999999999999996</v>
      </c>
      <c r="X41" s="211" t="s">
        <v>76</v>
      </c>
    </row>
    <row r="42" spans="1:24" ht="15" customHeight="1" x14ac:dyDescent="0.25">
      <c r="E42" s="64"/>
      <c r="F42" s="66"/>
      <c r="G42" s="67"/>
      <c r="H42" s="65"/>
      <c r="J42" s="117"/>
      <c r="K42" s="120"/>
      <c r="L42" s="123"/>
      <c r="M42" s="126"/>
      <c r="N42" s="130"/>
      <c r="O42" s="131"/>
      <c r="P42" s="95"/>
      <c r="Q42" s="98"/>
      <c r="R42" s="114"/>
      <c r="S42" s="82"/>
      <c r="T42" s="7"/>
      <c r="U42" s="7"/>
      <c r="V42" s="9"/>
      <c r="W42" s="42">
        <f>(F54*4.1)</f>
        <v>0</v>
      </c>
      <c r="X42" s="211" t="s">
        <v>77</v>
      </c>
    </row>
    <row r="43" spans="1:24" ht="15" customHeight="1" x14ac:dyDescent="0.25">
      <c r="E43" s="64"/>
      <c r="F43" s="66"/>
      <c r="G43" s="67"/>
      <c r="H43" s="65"/>
      <c r="J43" s="117"/>
      <c r="K43" s="120"/>
      <c r="L43" s="123"/>
      <c r="M43" s="126"/>
      <c r="N43" s="130"/>
      <c r="O43" s="131"/>
      <c r="P43" s="95"/>
      <c r="Q43" s="98"/>
      <c r="R43" s="114"/>
      <c r="S43" s="169" t="s">
        <v>62</v>
      </c>
      <c r="T43" s="170"/>
      <c r="U43" s="170"/>
      <c r="V43" s="171"/>
      <c r="W43" s="42">
        <f>(G54*9.3)</f>
        <v>0</v>
      </c>
      <c r="X43" s="211" t="s">
        <v>78</v>
      </c>
    </row>
    <row r="44" spans="1:24" ht="15" customHeight="1" x14ac:dyDescent="0.25">
      <c r="E44" s="64"/>
      <c r="F44" s="66"/>
      <c r="G44" s="67"/>
      <c r="H44" s="65"/>
      <c r="J44" s="117"/>
      <c r="K44" s="120"/>
      <c r="L44" s="123"/>
      <c r="M44" s="126"/>
      <c r="N44" s="130"/>
      <c r="O44" s="131"/>
      <c r="P44" s="95"/>
      <c r="Q44" s="98"/>
      <c r="R44" s="114"/>
      <c r="S44" s="83" t="s">
        <v>64</v>
      </c>
      <c r="T44" s="84" t="s">
        <v>6</v>
      </c>
      <c r="U44" s="85" t="s">
        <v>63</v>
      </c>
      <c r="V44" s="86" t="s">
        <v>63</v>
      </c>
      <c r="W44" s="42">
        <f>(H54*4.1)</f>
        <v>0</v>
      </c>
      <c r="X44" s="211" t="s">
        <v>81</v>
      </c>
    </row>
    <row r="45" spans="1:24" ht="15" customHeight="1" x14ac:dyDescent="0.25">
      <c r="E45" s="64"/>
      <c r="F45" s="66"/>
      <c r="G45" s="67"/>
      <c r="H45" s="65"/>
      <c r="J45" s="117"/>
      <c r="K45" s="120"/>
      <c r="L45" s="123"/>
      <c r="M45" s="126"/>
      <c r="N45" s="130"/>
      <c r="O45" s="131"/>
      <c r="P45" s="95"/>
      <c r="Q45" s="98"/>
      <c r="R45" s="114"/>
      <c r="S45" s="7"/>
      <c r="T45" s="7"/>
      <c r="U45" s="7"/>
      <c r="V45" s="9"/>
      <c r="W45" s="42">
        <f>SUM(W42:W44)</f>
        <v>0</v>
      </c>
      <c r="X45" s="211" t="s">
        <v>82</v>
      </c>
    </row>
    <row r="46" spans="1:24" ht="15" customHeight="1" x14ac:dyDescent="0.25">
      <c r="E46" s="64"/>
      <c r="F46" s="66"/>
      <c r="G46" s="67"/>
      <c r="H46" s="65"/>
      <c r="J46" s="117"/>
      <c r="K46" s="120"/>
      <c r="L46" s="123"/>
      <c r="M46" s="126"/>
      <c r="N46" s="130"/>
      <c r="O46" s="131"/>
      <c r="P46" s="95"/>
      <c r="Q46" s="98"/>
      <c r="R46" s="114"/>
      <c r="S46" s="170" t="s">
        <v>63</v>
      </c>
      <c r="T46" s="170"/>
      <c r="U46" s="170"/>
      <c r="V46" s="171"/>
    </row>
    <row r="47" spans="1:24" ht="15" customHeight="1" thickBot="1" x14ac:dyDescent="0.3">
      <c r="E47" s="64"/>
      <c r="F47" s="66"/>
      <c r="G47" s="67"/>
      <c r="H47" s="65"/>
      <c r="J47" s="117"/>
      <c r="K47" s="120"/>
      <c r="L47" s="123"/>
      <c r="M47" s="126"/>
      <c r="N47" s="132"/>
      <c r="O47" s="133"/>
      <c r="P47" s="96"/>
      <c r="Q47" s="99"/>
      <c r="R47" s="114"/>
      <c r="S47" s="83" t="s">
        <v>63</v>
      </c>
      <c r="T47" s="84" t="s">
        <v>63</v>
      </c>
      <c r="U47" s="85" t="s">
        <v>63</v>
      </c>
      <c r="V47" s="86" t="s">
        <v>63</v>
      </c>
    </row>
    <row r="48" spans="1:24" ht="15" customHeight="1" thickTop="1" thickBot="1" x14ac:dyDescent="0.35">
      <c r="A48" s="101" t="s">
        <v>30</v>
      </c>
      <c r="B48" s="101"/>
      <c r="C48" s="56" t="s">
        <v>31</v>
      </c>
      <c r="E48" s="64"/>
      <c r="F48" s="66"/>
      <c r="G48" s="67"/>
      <c r="H48" s="65"/>
      <c r="J48" s="117"/>
      <c r="K48" s="120"/>
      <c r="L48" s="123"/>
      <c r="M48" s="126"/>
      <c r="N48" s="102"/>
      <c r="O48" s="103"/>
      <c r="P48" s="108"/>
      <c r="Q48" s="111"/>
      <c r="R48" s="11" t="s">
        <v>27</v>
      </c>
      <c r="S48" s="89"/>
      <c r="T48" s="90"/>
      <c r="U48" s="90"/>
      <c r="V48" s="91"/>
    </row>
    <row r="49" spans="1:24" ht="15" customHeight="1" thickTop="1" x14ac:dyDescent="0.25">
      <c r="A49" s="57"/>
      <c r="B49" s="57"/>
      <c r="C49" s="56" t="s">
        <v>32</v>
      </c>
      <c r="E49" s="64"/>
      <c r="F49" s="66"/>
      <c r="G49" s="67"/>
      <c r="H49" s="65"/>
      <c r="J49" s="117"/>
      <c r="K49" s="120"/>
      <c r="L49" s="123"/>
      <c r="M49" s="126"/>
      <c r="N49" s="104"/>
      <c r="O49" s="105"/>
      <c r="P49" s="109"/>
      <c r="Q49" s="112"/>
      <c r="R49" s="114"/>
      <c r="S49" s="7"/>
      <c r="T49" s="7"/>
      <c r="U49" s="7"/>
      <c r="V49" s="9"/>
    </row>
    <row r="50" spans="1:24" ht="15" customHeight="1" x14ac:dyDescent="0.25">
      <c r="A50" s="57"/>
      <c r="B50" s="57"/>
      <c r="C50" s="56" t="s">
        <v>33</v>
      </c>
      <c r="E50" s="64"/>
      <c r="F50" s="66"/>
      <c r="G50" s="67"/>
      <c r="H50" s="65"/>
      <c r="J50" s="117"/>
      <c r="K50" s="120"/>
      <c r="L50" s="123"/>
      <c r="M50" s="126"/>
      <c r="N50" s="104"/>
      <c r="O50" s="105"/>
      <c r="P50" s="109"/>
      <c r="Q50" s="112"/>
      <c r="R50" s="114"/>
      <c r="S50" s="7"/>
      <c r="T50" s="7"/>
      <c r="U50" s="7"/>
      <c r="V50" s="9"/>
    </row>
    <row r="51" spans="1:24" ht="15" customHeight="1" x14ac:dyDescent="0.25">
      <c r="A51" s="57"/>
      <c r="B51" s="57"/>
      <c r="C51" s="56" t="s">
        <v>34</v>
      </c>
      <c r="E51" s="64">
        <f>(D51*13)</f>
        <v>0</v>
      </c>
      <c r="F51" s="66">
        <f>(D51*0.25)</f>
        <v>0</v>
      </c>
      <c r="G51" s="67">
        <f>(D51*1.3)</f>
        <v>0</v>
      </c>
      <c r="H51" s="65">
        <f>(D51*0.13)</f>
        <v>0</v>
      </c>
      <c r="J51" s="117"/>
      <c r="K51" s="120"/>
      <c r="L51" s="123"/>
      <c r="M51" s="126"/>
      <c r="N51" s="104"/>
      <c r="O51" s="105"/>
      <c r="P51" s="109"/>
      <c r="Q51" s="112"/>
      <c r="R51" s="114"/>
      <c r="S51" s="7"/>
      <c r="T51" s="7"/>
      <c r="U51" s="7"/>
      <c r="V51" s="9"/>
    </row>
    <row r="52" spans="1:24" ht="15" customHeight="1" x14ac:dyDescent="0.25">
      <c r="A52" s="57"/>
      <c r="B52" s="57"/>
      <c r="C52" s="56" t="s">
        <v>35</v>
      </c>
      <c r="E52" s="64">
        <f>(D52*11)</f>
        <v>0</v>
      </c>
      <c r="F52" s="66">
        <f>(D52*0.226)</f>
        <v>0</v>
      </c>
      <c r="G52" s="67">
        <f>(D52*1.11)</f>
        <v>0</v>
      </c>
      <c r="H52" s="65">
        <f>(D52*0.135)</f>
        <v>0</v>
      </c>
      <c r="J52" s="117"/>
      <c r="K52" s="120"/>
      <c r="L52" s="123"/>
      <c r="M52" s="126"/>
      <c r="N52" s="104"/>
      <c r="O52" s="105"/>
      <c r="P52" s="109"/>
      <c r="Q52" s="112"/>
      <c r="R52" s="114"/>
      <c r="S52" s="7"/>
      <c r="T52" s="7"/>
      <c r="U52" s="7"/>
      <c r="V52" s="9"/>
    </row>
    <row r="53" spans="1:24" ht="15" customHeight="1" x14ac:dyDescent="0.25">
      <c r="A53" s="57"/>
      <c r="B53" s="57"/>
      <c r="C53" s="56" t="s">
        <v>36</v>
      </c>
      <c r="E53" s="64">
        <f>(D53*108)</f>
        <v>0</v>
      </c>
      <c r="F53" s="66">
        <f>(D53*22)</f>
        <v>0</v>
      </c>
      <c r="G53" s="67">
        <f>(D53*1)</f>
        <v>0</v>
      </c>
      <c r="H53" s="65">
        <f>(D53*2.5)</f>
        <v>0</v>
      </c>
      <c r="J53" s="117"/>
      <c r="K53" s="120"/>
      <c r="L53" s="123"/>
      <c r="M53" s="126"/>
      <c r="N53" s="104"/>
      <c r="O53" s="105"/>
      <c r="P53" s="109"/>
      <c r="Q53" s="112"/>
      <c r="R53" s="114"/>
      <c r="S53" s="7"/>
      <c r="T53" s="7"/>
      <c r="U53" s="7"/>
      <c r="V53" s="9"/>
    </row>
    <row r="54" spans="1:24" ht="15" customHeight="1" x14ac:dyDescent="0.25">
      <c r="A54" s="57"/>
      <c r="B54" s="57"/>
      <c r="C54" s="200" t="s">
        <v>37</v>
      </c>
      <c r="D54" s="201"/>
      <c r="E54" s="202">
        <f>SUM(E39:E53)</f>
        <v>0</v>
      </c>
      <c r="F54" s="203">
        <f>SUM(F39:F53)</f>
        <v>0</v>
      </c>
      <c r="G54" s="78">
        <f>SUM(G39:G53)</f>
        <v>0</v>
      </c>
      <c r="H54" s="80">
        <f>SUM(H39:H53)</f>
        <v>0</v>
      </c>
      <c r="I54" s="204">
        <f>(I39/4)</f>
        <v>0</v>
      </c>
      <c r="J54" s="117"/>
      <c r="K54" s="120"/>
      <c r="L54" s="123"/>
      <c r="M54" s="126"/>
      <c r="N54" s="104"/>
      <c r="O54" s="105"/>
      <c r="P54" s="109"/>
      <c r="Q54" s="112"/>
      <c r="R54" s="114"/>
      <c r="S54" s="7"/>
      <c r="T54" s="7"/>
      <c r="U54" s="7"/>
      <c r="V54" s="9"/>
    </row>
    <row r="55" spans="1:24" s="63" customFormat="1" ht="15" customHeight="1" thickBot="1" x14ac:dyDescent="0.3">
      <c r="A55" s="58"/>
      <c r="B55" s="58"/>
      <c r="C55" s="208" t="s">
        <v>71</v>
      </c>
      <c r="D55" s="58"/>
      <c r="E55" s="207">
        <f>IF(E54&lt;=2700,2700-E54,2700-E54)</f>
        <v>2700</v>
      </c>
      <c r="F55" s="60" t="e">
        <f>(W42/W45)</f>
        <v>#DIV/0!</v>
      </c>
      <c r="G55" s="60" t="e">
        <f>(W43/W45)</f>
        <v>#DIV/0!</v>
      </c>
      <c r="H55" s="60" t="e">
        <f>(W44/W45)</f>
        <v>#DIV/0!</v>
      </c>
      <c r="I55" s="205">
        <f>IF(I54&gt;3,I54-3,I54-3)</f>
        <v>-3</v>
      </c>
      <c r="J55" s="118"/>
      <c r="K55" s="121"/>
      <c r="L55" s="124"/>
      <c r="M55" s="127"/>
      <c r="N55" s="106"/>
      <c r="O55" s="107"/>
      <c r="P55" s="110"/>
      <c r="Q55" s="113"/>
      <c r="R55" s="115"/>
      <c r="S55" s="7"/>
      <c r="T55" s="7"/>
      <c r="U55" s="7"/>
      <c r="V55" s="9"/>
      <c r="W55" s="61" t="b">
        <f>IF(E54&gt;2700,1)</f>
        <v>0</v>
      </c>
      <c r="X55" s="62"/>
    </row>
    <row r="56" spans="1:24" ht="15.75" thickTop="1" x14ac:dyDescent="0.25"/>
  </sheetData>
  <mergeCells count="61">
    <mergeCell ref="S22:V22"/>
    <mergeCell ref="S23:V23"/>
    <mergeCell ref="S26:V26"/>
    <mergeCell ref="S29:V29"/>
    <mergeCell ref="S39:V39"/>
    <mergeCell ref="S40:V40"/>
    <mergeCell ref="S43:V43"/>
    <mergeCell ref="S46:V46"/>
    <mergeCell ref="A14:B14"/>
    <mergeCell ref="R13:R21"/>
    <mergeCell ref="R3:R11"/>
    <mergeCell ref="A1:I1"/>
    <mergeCell ref="J1:M1"/>
    <mergeCell ref="N1:Q1"/>
    <mergeCell ref="W1:X1"/>
    <mergeCell ref="N2:O2"/>
    <mergeCell ref="J3:J21"/>
    <mergeCell ref="K3:K21"/>
    <mergeCell ref="L3:L21"/>
    <mergeCell ref="M3:M21"/>
    <mergeCell ref="S1:V1"/>
    <mergeCell ref="S2:V2"/>
    <mergeCell ref="S3:V3"/>
    <mergeCell ref="S12:V12"/>
    <mergeCell ref="S6:V6"/>
    <mergeCell ref="S9:V9"/>
    <mergeCell ref="S13:V13"/>
    <mergeCell ref="S16:V16"/>
    <mergeCell ref="S19:V19"/>
    <mergeCell ref="A48:B48"/>
    <mergeCell ref="A31:B31"/>
    <mergeCell ref="J39:J55"/>
    <mergeCell ref="K39:K55"/>
    <mergeCell ref="L39:L55"/>
    <mergeCell ref="M39:M55"/>
    <mergeCell ref="J22:J38"/>
    <mergeCell ref="K22:K38"/>
    <mergeCell ref="L22:L38"/>
    <mergeCell ref="M22:M38"/>
    <mergeCell ref="P3:P11"/>
    <mergeCell ref="P12:P21"/>
    <mergeCell ref="N3:O11"/>
    <mergeCell ref="N12:O21"/>
    <mergeCell ref="Q12:Q21"/>
    <mergeCell ref="Q3:Q11"/>
    <mergeCell ref="N22:O30"/>
    <mergeCell ref="P22:P30"/>
    <mergeCell ref="Q22:Q30"/>
    <mergeCell ref="P39:P47"/>
    <mergeCell ref="Q39:Q47"/>
    <mergeCell ref="R40:R47"/>
    <mergeCell ref="N48:O55"/>
    <mergeCell ref="P48:P55"/>
    <mergeCell ref="Q48:Q55"/>
    <mergeCell ref="R49:R55"/>
    <mergeCell ref="N39:O47"/>
    <mergeCell ref="R23:R30"/>
    <mergeCell ref="R32:R38"/>
    <mergeCell ref="Q31:Q38"/>
    <mergeCell ref="N31:O38"/>
    <mergeCell ref="P31:P38"/>
  </mergeCells>
  <conditionalFormatting sqref="I20">
    <cfRule type="expression" dxfId="36" priority="39">
      <formula>$I$21</formula>
    </cfRule>
  </conditionalFormatting>
  <conditionalFormatting sqref="I37">
    <cfRule type="expression" dxfId="35" priority="38">
      <formula>$I$38</formula>
    </cfRule>
  </conditionalFormatting>
  <conditionalFormatting sqref="E21">
    <cfRule type="expression" dxfId="34" priority="40">
      <formula>$W$20</formula>
    </cfRule>
    <cfRule type="expression" dxfId="33" priority="41">
      <formula>$E$21</formula>
    </cfRule>
  </conditionalFormatting>
  <conditionalFormatting sqref="E38">
    <cfRule type="expression" dxfId="32" priority="42">
      <formula>$W$38</formula>
    </cfRule>
    <cfRule type="expression" dxfId="31" priority="43">
      <formula>$E$38</formula>
    </cfRule>
  </conditionalFormatting>
  <conditionalFormatting sqref="E55">
    <cfRule type="expression" dxfId="23" priority="8">
      <formula>$W$38</formula>
    </cfRule>
    <cfRule type="expression" dxfId="22" priority="9">
      <formula>$E$38</formula>
    </cfRule>
  </conditionalFormatting>
  <conditionalFormatting sqref="I54">
    <cfRule type="expression" dxfId="21" priority="7">
      <formula>$I$38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72"/>
  <sheetViews>
    <sheetView workbookViewId="0">
      <selection activeCell="A18" sqref="A18:F18"/>
    </sheetView>
  </sheetViews>
  <sheetFormatPr baseColWidth="10" defaultRowHeight="15" x14ac:dyDescent="0.25"/>
  <cols>
    <col min="1" max="1" width="40.28515625" style="4" customWidth="1"/>
    <col min="2" max="2" width="20.28515625" style="4" customWidth="1"/>
    <col min="3" max="3" width="17.140625" style="5" customWidth="1"/>
    <col min="4" max="4" width="17.7109375" style="13" customWidth="1"/>
    <col min="5" max="5" width="19.140625" style="14" customWidth="1"/>
    <col min="6" max="6" width="21.140625" style="12" customWidth="1"/>
    <col min="7" max="9" width="11.42578125" style="215"/>
  </cols>
  <sheetData>
    <row r="1" spans="1:9" s="4" customFormat="1" ht="21" x14ac:dyDescent="0.35">
      <c r="A1" s="2" t="s">
        <v>7</v>
      </c>
      <c r="B1" s="2" t="s">
        <v>38</v>
      </c>
      <c r="C1" s="3" t="s">
        <v>39</v>
      </c>
      <c r="D1" s="16" t="s">
        <v>84</v>
      </c>
      <c r="E1" s="17" t="s">
        <v>10</v>
      </c>
      <c r="F1" s="15" t="s">
        <v>40</v>
      </c>
      <c r="G1" s="214"/>
      <c r="H1" s="214"/>
      <c r="I1" s="214"/>
    </row>
    <row r="2" spans="1:9" s="4" customFormat="1" x14ac:dyDescent="0.25">
      <c r="A2" s="1" t="s">
        <v>83</v>
      </c>
      <c r="B2" s="4">
        <v>1</v>
      </c>
      <c r="C2" s="5">
        <f>(B2*80.73)</f>
        <v>80.73</v>
      </c>
      <c r="D2" s="13">
        <f>(B2*3.9)</f>
        <v>3.9</v>
      </c>
      <c r="E2" s="14">
        <f>(B2*6.37)</f>
        <v>6.37</v>
      </c>
      <c r="F2" s="81">
        <f>(B2*1.209)</f>
        <v>1.2090000000000001</v>
      </c>
      <c r="G2" s="214"/>
      <c r="H2" s="214"/>
      <c r="I2" s="214"/>
    </row>
    <row r="3" spans="1:9" s="4" customFormat="1" x14ac:dyDescent="0.25">
      <c r="A3" s="4" t="s">
        <v>20</v>
      </c>
      <c r="B3" s="4">
        <v>150</v>
      </c>
      <c r="C3" s="5">
        <f>(B3*0.71)</f>
        <v>106.5</v>
      </c>
      <c r="D3" s="13">
        <f>(B3*0.111)</f>
        <v>16.649999999999999</v>
      </c>
      <c r="E3" s="31">
        <f>(B3*0.009)</f>
        <v>1.3499999999999999</v>
      </c>
      <c r="F3" s="12">
        <f>(B3*0.044)</f>
        <v>6.6</v>
      </c>
      <c r="G3" s="214"/>
      <c r="H3" s="214"/>
      <c r="I3" s="214"/>
    </row>
    <row r="4" spans="1:9" s="4" customFormat="1" x14ac:dyDescent="0.25">
      <c r="A4" s="4" t="s">
        <v>41</v>
      </c>
      <c r="B4" s="4">
        <v>1</v>
      </c>
      <c r="C4" s="5">
        <f>(B4*108)</f>
        <v>108</v>
      </c>
      <c r="D4" s="13">
        <f>(B4*22)</f>
        <v>22</v>
      </c>
      <c r="E4" s="14">
        <f>(B4*1)</f>
        <v>1</v>
      </c>
      <c r="F4" s="12">
        <f>(B4*2.5)</f>
        <v>2.5</v>
      </c>
      <c r="G4" s="214"/>
      <c r="H4" s="214"/>
      <c r="I4" s="214"/>
    </row>
    <row r="5" spans="1:9" s="4" customFormat="1" x14ac:dyDescent="0.25">
      <c r="A5" s="4" t="s">
        <v>21</v>
      </c>
      <c r="B5" s="4">
        <v>407</v>
      </c>
      <c r="C5" s="5">
        <f>(B5*0.88)</f>
        <v>358.16</v>
      </c>
      <c r="D5" s="13">
        <f>(B5*0.029)</f>
        <v>11.803000000000001</v>
      </c>
      <c r="E5" s="14">
        <f>(B5*0.026)</f>
        <v>10.581999999999999</v>
      </c>
      <c r="F5" s="12">
        <f>(B5*0.132)</f>
        <v>53.724000000000004</v>
      </c>
      <c r="G5" s="214"/>
      <c r="H5" s="214"/>
      <c r="I5" s="214"/>
    </row>
    <row r="6" spans="1:9" s="4" customFormat="1" x14ac:dyDescent="0.25">
      <c r="A6" s="4" t="s">
        <v>24</v>
      </c>
      <c r="B6" s="4">
        <v>128.5</v>
      </c>
      <c r="C6" s="5">
        <f>(B6*0.19)</f>
        <v>24.414999999999999</v>
      </c>
      <c r="D6" s="13">
        <f>(B6*0.0203)</f>
        <v>2.6085499999999997</v>
      </c>
      <c r="E6" s="14">
        <f>(B6*0.0029)</f>
        <v>0.37264999999999998</v>
      </c>
      <c r="F6" s="12">
        <f>(B6*0.0225)</f>
        <v>2.8912499999999999</v>
      </c>
      <c r="G6" s="214"/>
      <c r="H6" s="214"/>
      <c r="I6" s="214"/>
    </row>
    <row r="7" spans="1:9" s="4" customFormat="1" x14ac:dyDescent="0.25">
      <c r="A7" s="4" t="s">
        <v>23</v>
      </c>
      <c r="B7" s="4">
        <v>183.5</v>
      </c>
      <c r="C7" s="5">
        <f>(B7*63/100)</f>
        <v>115.605</v>
      </c>
      <c r="D7" s="13">
        <f>(B7*0.017)</f>
        <v>3.1195000000000004</v>
      </c>
      <c r="E7" s="14">
        <f>(B7*0.006)</f>
        <v>1.101</v>
      </c>
      <c r="F7" s="12">
        <f>(B7*0.126)</f>
        <v>23.120999999999999</v>
      </c>
      <c r="G7" s="214"/>
      <c r="H7" s="214"/>
      <c r="I7" s="214"/>
    </row>
    <row r="8" spans="1:9" s="4" customFormat="1" x14ac:dyDescent="0.25">
      <c r="A8" s="4" t="s">
        <v>22</v>
      </c>
      <c r="B8" s="4">
        <v>198</v>
      </c>
      <c r="C8" s="5">
        <f>(B8*54/100)</f>
        <v>106.92</v>
      </c>
      <c r="D8" s="13">
        <f>(B8*0.3/100)</f>
        <v>0.59399999999999997</v>
      </c>
      <c r="E8" s="14">
        <f>(B8*0.4/100)</f>
        <v>0.79200000000000004</v>
      </c>
      <c r="F8" s="12">
        <f>(B8*11.4/100)</f>
        <v>22.572000000000003</v>
      </c>
      <c r="G8" s="214"/>
      <c r="H8" s="214"/>
      <c r="I8" s="214"/>
    </row>
    <row r="9" spans="1:9" s="4" customFormat="1" x14ac:dyDescent="0.25">
      <c r="A9" s="4" t="s">
        <v>42</v>
      </c>
      <c r="B9" s="4">
        <v>185</v>
      </c>
      <c r="C9" s="5">
        <f>(B9*111/100)</f>
        <v>205.35</v>
      </c>
      <c r="D9" s="13">
        <f>(B9*25.5/100)</f>
        <v>47.174999999999997</v>
      </c>
      <c r="E9" s="14">
        <f>(B9*1/100)</f>
        <v>1.85</v>
      </c>
      <c r="F9" s="12">
        <f>(B9*0.1/100)</f>
        <v>0.185</v>
      </c>
      <c r="G9" s="214"/>
      <c r="H9" s="214"/>
      <c r="I9" s="214"/>
    </row>
    <row r="10" spans="1:9" s="4" customFormat="1" x14ac:dyDescent="0.25">
      <c r="A10" s="4" t="s">
        <v>43</v>
      </c>
      <c r="B10" s="4">
        <v>100</v>
      </c>
      <c r="C10" s="5">
        <f>(B10*601/100)</f>
        <v>601</v>
      </c>
      <c r="D10" s="13">
        <f>(B10*16/100)</f>
        <v>16</v>
      </c>
      <c r="E10" s="14">
        <f>(B10*53/100)</f>
        <v>53</v>
      </c>
      <c r="F10" s="12">
        <f>(B10*16/100)</f>
        <v>16</v>
      </c>
      <c r="G10" s="214"/>
      <c r="H10" s="214"/>
      <c r="I10" s="214"/>
    </row>
    <row r="11" spans="1:9" s="4" customFormat="1" x14ac:dyDescent="0.25">
      <c r="A11" s="4" t="s">
        <v>26</v>
      </c>
      <c r="B11" s="4">
        <v>458</v>
      </c>
      <c r="C11" s="5">
        <f>(B11*45/100)</f>
        <v>206.1</v>
      </c>
      <c r="D11" s="13">
        <f>(B11*0.8/100)</f>
        <v>3.6640000000000001</v>
      </c>
      <c r="E11" s="14">
        <f>(B11*0/100)</f>
        <v>0</v>
      </c>
      <c r="F11" s="12">
        <f>(B11*9.4/100)</f>
        <v>43.052</v>
      </c>
      <c r="G11" s="214"/>
      <c r="H11" s="214"/>
      <c r="I11" s="214"/>
    </row>
    <row r="12" spans="1:9" s="4" customFormat="1" x14ac:dyDescent="0.25">
      <c r="A12" s="4" t="s">
        <v>44</v>
      </c>
      <c r="B12" s="4">
        <v>260</v>
      </c>
      <c r="C12" s="5">
        <f>(B12*50/100)</f>
        <v>130</v>
      </c>
      <c r="D12" s="13">
        <f>(B12*1/100)</f>
        <v>2.6</v>
      </c>
      <c r="E12" s="14">
        <f>(B12*0.55/100)</f>
        <v>1.43</v>
      </c>
      <c r="F12" s="12">
        <f>(B12*11.7/100)</f>
        <v>30.42</v>
      </c>
      <c r="G12" s="214"/>
      <c r="H12" s="214"/>
      <c r="I12" s="214"/>
    </row>
    <row r="13" spans="1:9" s="4" customFormat="1" ht="15" customHeight="1" x14ac:dyDescent="0.25">
      <c r="A13" s="4" t="s">
        <v>25</v>
      </c>
      <c r="B13" s="4">
        <v>62.5</v>
      </c>
      <c r="C13" s="5">
        <f>(B13*42/100)</f>
        <v>26.25</v>
      </c>
      <c r="D13" s="13">
        <f>(B13*4.1/100)</f>
        <v>2.5625</v>
      </c>
      <c r="E13" s="14">
        <f>(B13*1/100)</f>
        <v>0.625</v>
      </c>
      <c r="F13" s="12">
        <f>(B13*4.2/100)</f>
        <v>2.625</v>
      </c>
      <c r="G13" s="213" t="s">
        <v>85</v>
      </c>
      <c r="H13" s="213"/>
      <c r="I13" s="213"/>
    </row>
    <row r="14" spans="1:9" s="4" customFormat="1" x14ac:dyDescent="0.25">
      <c r="A14" s="6" t="s">
        <v>34</v>
      </c>
      <c r="B14" s="4">
        <v>1</v>
      </c>
      <c r="C14" s="5">
        <f>(B14*13)</f>
        <v>13</v>
      </c>
      <c r="D14" s="13">
        <f>(B14*0.25)</f>
        <v>0.25</v>
      </c>
      <c r="E14" s="14">
        <f>(B14*1.3)</f>
        <v>1.3</v>
      </c>
      <c r="F14" s="12">
        <f>(B14*0.13)</f>
        <v>0.13</v>
      </c>
      <c r="G14" s="214"/>
      <c r="H14" s="214"/>
      <c r="I14" s="214"/>
    </row>
    <row r="15" spans="1:9" s="4" customFormat="1" x14ac:dyDescent="0.25">
      <c r="A15" s="6" t="s">
        <v>35</v>
      </c>
      <c r="B15" s="4">
        <v>1</v>
      </c>
      <c r="C15" s="5">
        <f>(B15*11)</f>
        <v>11</v>
      </c>
      <c r="D15" s="13">
        <f>(B15*0.226)</f>
        <v>0.22600000000000001</v>
      </c>
      <c r="E15" s="14">
        <f>(B15*1.11)</f>
        <v>1.1100000000000001</v>
      </c>
      <c r="F15" s="12">
        <f>(B15*0.135)</f>
        <v>0.13500000000000001</v>
      </c>
      <c r="G15" s="214"/>
      <c r="H15" s="214"/>
      <c r="I15" s="214"/>
    </row>
    <row r="16" spans="1:9" s="4" customFormat="1" x14ac:dyDescent="0.25">
      <c r="A16" s="4" t="s">
        <v>28</v>
      </c>
      <c r="B16" s="4">
        <v>1</v>
      </c>
      <c r="C16" s="5">
        <f>(B16*665)</f>
        <v>665</v>
      </c>
      <c r="D16" s="13">
        <f>(B16*30)</f>
        <v>30</v>
      </c>
      <c r="E16" s="14">
        <f>(B16*30)</f>
        <v>30</v>
      </c>
      <c r="F16" s="12">
        <f>(B16*65)</f>
        <v>65</v>
      </c>
      <c r="G16" s="214"/>
      <c r="H16" s="214"/>
      <c r="I16" s="214"/>
    </row>
    <row r="17" spans="1:9" s="4" customFormat="1" x14ac:dyDescent="0.25">
      <c r="A17" s="210" t="s">
        <v>72</v>
      </c>
      <c r="B17" s="210">
        <v>1</v>
      </c>
      <c r="C17" s="5">
        <f>(B17*642)</f>
        <v>642</v>
      </c>
      <c r="D17" s="13">
        <f>(B17*36.8)</f>
        <v>36.799999999999997</v>
      </c>
      <c r="E17" s="14">
        <f>(B17*30)</f>
        <v>30</v>
      </c>
      <c r="F17" s="12">
        <f>(B17*56.4)</f>
        <v>56.4</v>
      </c>
      <c r="G17" s="214"/>
      <c r="H17" s="214"/>
      <c r="I17" s="214"/>
    </row>
    <row r="18" spans="1:9" x14ac:dyDescent="0.25">
      <c r="A18" s="210" t="s">
        <v>86</v>
      </c>
      <c r="B18" s="210">
        <v>73</v>
      </c>
      <c r="C18" s="5">
        <f>(B18* 37/100)</f>
        <v>27.01</v>
      </c>
      <c r="D18" s="13">
        <f>(B18*1.3/100)</f>
        <v>0.94900000000000007</v>
      </c>
      <c r="E18" s="14">
        <f>(B18*0.5/100)</f>
        <v>0.36499999999999999</v>
      </c>
      <c r="F18" s="12">
        <f>(B18*6.4/100)</f>
        <v>4.6720000000000006</v>
      </c>
    </row>
    <row r="19" spans="1:9" x14ac:dyDescent="0.25">
      <c r="C19" s="5" t="e">
        <f t="shared" ref="C18:C72" si="0">(B19*x/100)</f>
        <v>#NAME?</v>
      </c>
      <c r="D19" s="13" t="e">
        <f t="shared" ref="D19:D38" si="1">(B19*x/100)</f>
        <v>#NAME?</v>
      </c>
      <c r="E19" s="14" t="e">
        <f t="shared" ref="E19:E38" si="2">(B19*x/100)</f>
        <v>#NAME?</v>
      </c>
      <c r="F19" s="12" t="e">
        <f t="shared" ref="F19:F38" si="3">(B19*x/100)</f>
        <v>#NAME?</v>
      </c>
    </row>
    <row r="20" spans="1:9" x14ac:dyDescent="0.25">
      <c r="C20" s="5" t="e">
        <f t="shared" si="0"/>
        <v>#NAME?</v>
      </c>
      <c r="D20" s="13" t="e">
        <f t="shared" si="1"/>
        <v>#NAME?</v>
      </c>
      <c r="E20" s="14" t="e">
        <f t="shared" si="2"/>
        <v>#NAME?</v>
      </c>
      <c r="F20" s="12" t="e">
        <f t="shared" si="3"/>
        <v>#NAME?</v>
      </c>
    </row>
    <row r="21" spans="1:9" x14ac:dyDescent="0.25">
      <c r="C21" s="5" t="e">
        <f t="shared" si="0"/>
        <v>#NAME?</v>
      </c>
      <c r="D21" s="13" t="e">
        <f t="shared" si="1"/>
        <v>#NAME?</v>
      </c>
      <c r="E21" s="14" t="e">
        <f t="shared" si="2"/>
        <v>#NAME?</v>
      </c>
      <c r="F21" s="12" t="e">
        <f t="shared" si="3"/>
        <v>#NAME?</v>
      </c>
    </row>
    <row r="22" spans="1:9" x14ac:dyDescent="0.25">
      <c r="C22" s="5" t="e">
        <f t="shared" si="0"/>
        <v>#NAME?</v>
      </c>
      <c r="D22" s="13" t="e">
        <f t="shared" si="1"/>
        <v>#NAME?</v>
      </c>
      <c r="E22" s="14" t="e">
        <f t="shared" si="2"/>
        <v>#NAME?</v>
      </c>
      <c r="F22" s="12" t="e">
        <f t="shared" si="3"/>
        <v>#NAME?</v>
      </c>
    </row>
    <row r="23" spans="1:9" x14ac:dyDescent="0.25">
      <c r="C23" s="5" t="e">
        <f t="shared" si="0"/>
        <v>#NAME?</v>
      </c>
      <c r="D23" s="13" t="e">
        <f t="shared" si="1"/>
        <v>#NAME?</v>
      </c>
      <c r="E23" s="14" t="e">
        <f t="shared" si="2"/>
        <v>#NAME?</v>
      </c>
      <c r="F23" s="12" t="e">
        <f t="shared" si="3"/>
        <v>#NAME?</v>
      </c>
    </row>
    <row r="24" spans="1:9" x14ac:dyDescent="0.25">
      <c r="C24" s="5" t="e">
        <f t="shared" si="0"/>
        <v>#NAME?</v>
      </c>
      <c r="D24" s="13" t="e">
        <f t="shared" si="1"/>
        <v>#NAME?</v>
      </c>
      <c r="E24" s="14" t="e">
        <f t="shared" si="2"/>
        <v>#NAME?</v>
      </c>
      <c r="F24" s="12" t="e">
        <f t="shared" si="3"/>
        <v>#NAME?</v>
      </c>
    </row>
    <row r="25" spans="1:9" x14ac:dyDescent="0.25">
      <c r="C25" s="5" t="e">
        <f t="shared" si="0"/>
        <v>#NAME?</v>
      </c>
      <c r="D25" s="13" t="e">
        <f t="shared" si="1"/>
        <v>#NAME?</v>
      </c>
      <c r="E25" s="14" t="e">
        <f t="shared" si="2"/>
        <v>#NAME?</v>
      </c>
      <c r="F25" s="12" t="e">
        <f t="shared" si="3"/>
        <v>#NAME?</v>
      </c>
    </row>
    <row r="26" spans="1:9" x14ac:dyDescent="0.25">
      <c r="C26" s="5" t="e">
        <f t="shared" si="0"/>
        <v>#NAME?</v>
      </c>
      <c r="D26" s="13" t="e">
        <f t="shared" si="1"/>
        <v>#NAME?</v>
      </c>
      <c r="E26" s="14" t="e">
        <f t="shared" si="2"/>
        <v>#NAME?</v>
      </c>
      <c r="F26" s="12" t="e">
        <f t="shared" si="3"/>
        <v>#NAME?</v>
      </c>
    </row>
    <row r="27" spans="1:9" x14ac:dyDescent="0.25">
      <c r="C27" s="5" t="e">
        <f t="shared" si="0"/>
        <v>#NAME?</v>
      </c>
      <c r="D27" s="13" t="e">
        <f t="shared" si="1"/>
        <v>#NAME?</v>
      </c>
      <c r="E27" s="14" t="e">
        <f t="shared" si="2"/>
        <v>#NAME?</v>
      </c>
      <c r="F27" s="12" t="e">
        <f t="shared" si="3"/>
        <v>#NAME?</v>
      </c>
    </row>
    <row r="28" spans="1:9" x14ac:dyDescent="0.25">
      <c r="C28" s="5" t="e">
        <f t="shared" si="0"/>
        <v>#NAME?</v>
      </c>
      <c r="D28" s="13" t="e">
        <f t="shared" si="1"/>
        <v>#NAME?</v>
      </c>
      <c r="E28" s="14" t="e">
        <f t="shared" si="2"/>
        <v>#NAME?</v>
      </c>
      <c r="F28" s="12" t="e">
        <f t="shared" si="3"/>
        <v>#NAME?</v>
      </c>
    </row>
    <row r="29" spans="1:9" x14ac:dyDescent="0.25">
      <c r="C29" s="5" t="e">
        <f t="shared" si="0"/>
        <v>#NAME?</v>
      </c>
      <c r="D29" s="13" t="e">
        <f t="shared" si="1"/>
        <v>#NAME?</v>
      </c>
      <c r="E29" s="14" t="e">
        <f t="shared" si="2"/>
        <v>#NAME?</v>
      </c>
      <c r="F29" s="12" t="e">
        <f t="shared" si="3"/>
        <v>#NAME?</v>
      </c>
    </row>
    <row r="30" spans="1:9" x14ac:dyDescent="0.25">
      <c r="C30" s="5" t="e">
        <f t="shared" si="0"/>
        <v>#NAME?</v>
      </c>
      <c r="D30" s="13" t="e">
        <f t="shared" si="1"/>
        <v>#NAME?</v>
      </c>
      <c r="E30" s="14" t="e">
        <f t="shared" si="2"/>
        <v>#NAME?</v>
      </c>
      <c r="F30" s="12" t="e">
        <f t="shared" si="3"/>
        <v>#NAME?</v>
      </c>
    </row>
    <row r="31" spans="1:9" x14ac:dyDescent="0.25">
      <c r="C31" s="5" t="e">
        <f t="shared" si="0"/>
        <v>#NAME?</v>
      </c>
      <c r="D31" s="13" t="e">
        <f t="shared" si="1"/>
        <v>#NAME?</v>
      </c>
      <c r="E31" s="14" t="e">
        <f t="shared" si="2"/>
        <v>#NAME?</v>
      </c>
      <c r="F31" s="12" t="e">
        <f t="shared" si="3"/>
        <v>#NAME?</v>
      </c>
    </row>
    <row r="32" spans="1:9" x14ac:dyDescent="0.25">
      <c r="C32" s="5" t="e">
        <f t="shared" si="0"/>
        <v>#NAME?</v>
      </c>
      <c r="D32" s="13" t="e">
        <f t="shared" si="1"/>
        <v>#NAME?</v>
      </c>
      <c r="E32" s="14" t="e">
        <f t="shared" si="2"/>
        <v>#NAME?</v>
      </c>
      <c r="F32" s="12" t="e">
        <f t="shared" si="3"/>
        <v>#NAME?</v>
      </c>
    </row>
    <row r="33" spans="3:6" x14ac:dyDescent="0.25">
      <c r="C33" s="5" t="e">
        <f t="shared" si="0"/>
        <v>#NAME?</v>
      </c>
      <c r="D33" s="13" t="e">
        <f t="shared" si="1"/>
        <v>#NAME?</v>
      </c>
      <c r="E33" s="14" t="e">
        <f t="shared" si="2"/>
        <v>#NAME?</v>
      </c>
      <c r="F33" s="12" t="e">
        <f t="shared" si="3"/>
        <v>#NAME?</v>
      </c>
    </row>
    <row r="34" spans="3:6" x14ac:dyDescent="0.25">
      <c r="C34" s="5" t="e">
        <f t="shared" si="0"/>
        <v>#NAME?</v>
      </c>
      <c r="D34" s="13" t="e">
        <f t="shared" si="1"/>
        <v>#NAME?</v>
      </c>
      <c r="E34" s="14" t="e">
        <f t="shared" si="2"/>
        <v>#NAME?</v>
      </c>
      <c r="F34" s="12" t="e">
        <f t="shared" si="3"/>
        <v>#NAME?</v>
      </c>
    </row>
    <row r="35" spans="3:6" x14ac:dyDescent="0.25">
      <c r="C35" s="5" t="e">
        <f t="shared" si="0"/>
        <v>#NAME?</v>
      </c>
      <c r="D35" s="13" t="e">
        <f t="shared" si="1"/>
        <v>#NAME?</v>
      </c>
      <c r="E35" s="14" t="e">
        <f t="shared" si="2"/>
        <v>#NAME?</v>
      </c>
      <c r="F35" s="12" t="e">
        <f t="shared" si="3"/>
        <v>#NAME?</v>
      </c>
    </row>
    <row r="36" spans="3:6" x14ac:dyDescent="0.25">
      <c r="C36" s="5" t="e">
        <f t="shared" si="0"/>
        <v>#NAME?</v>
      </c>
      <c r="D36" s="13" t="e">
        <f t="shared" si="1"/>
        <v>#NAME?</v>
      </c>
      <c r="E36" s="14" t="e">
        <f t="shared" si="2"/>
        <v>#NAME?</v>
      </c>
      <c r="F36" s="12" t="e">
        <f t="shared" si="3"/>
        <v>#NAME?</v>
      </c>
    </row>
    <row r="37" spans="3:6" x14ac:dyDescent="0.25">
      <c r="C37" s="5" t="e">
        <f t="shared" si="0"/>
        <v>#NAME?</v>
      </c>
      <c r="D37" s="13" t="e">
        <f t="shared" si="1"/>
        <v>#NAME?</v>
      </c>
      <c r="E37" s="14" t="e">
        <f t="shared" si="2"/>
        <v>#NAME?</v>
      </c>
      <c r="F37" s="12" t="e">
        <f t="shared" si="3"/>
        <v>#NAME?</v>
      </c>
    </row>
    <row r="38" spans="3:6" x14ac:dyDescent="0.25">
      <c r="C38" s="5" t="e">
        <f t="shared" si="0"/>
        <v>#NAME?</v>
      </c>
      <c r="D38" s="13" t="e">
        <f t="shared" si="1"/>
        <v>#NAME?</v>
      </c>
      <c r="E38" s="14" t="e">
        <f t="shared" si="2"/>
        <v>#NAME?</v>
      </c>
      <c r="F38" s="12" t="e">
        <f t="shared" si="3"/>
        <v>#NAME?</v>
      </c>
    </row>
    <row r="39" spans="3:6" x14ac:dyDescent="0.25">
      <c r="C39" s="5" t="e">
        <f t="shared" si="0"/>
        <v>#NAME?</v>
      </c>
      <c r="D39" s="13" t="e">
        <f t="shared" ref="D39:D72" si="4">(B39*x/100)</f>
        <v>#NAME?</v>
      </c>
      <c r="E39" s="14" t="e">
        <f t="shared" ref="E39:E72" si="5">(B39*x/100)</f>
        <v>#NAME?</v>
      </c>
      <c r="F39" s="12" t="e">
        <f t="shared" ref="F39:F72" si="6">(B39*x/100)</f>
        <v>#NAME?</v>
      </c>
    </row>
    <row r="40" spans="3:6" x14ac:dyDescent="0.25">
      <c r="C40" s="5" t="e">
        <f t="shared" si="0"/>
        <v>#NAME?</v>
      </c>
      <c r="D40" s="13" t="e">
        <f t="shared" si="4"/>
        <v>#NAME?</v>
      </c>
      <c r="E40" s="14" t="e">
        <f t="shared" si="5"/>
        <v>#NAME?</v>
      </c>
      <c r="F40" s="12" t="e">
        <f t="shared" si="6"/>
        <v>#NAME?</v>
      </c>
    </row>
    <row r="41" spans="3:6" x14ac:dyDescent="0.25">
      <c r="C41" s="5" t="e">
        <f t="shared" si="0"/>
        <v>#NAME?</v>
      </c>
      <c r="D41" s="13" t="e">
        <f t="shared" si="4"/>
        <v>#NAME?</v>
      </c>
      <c r="E41" s="14" t="e">
        <f t="shared" si="5"/>
        <v>#NAME?</v>
      </c>
      <c r="F41" s="12" t="e">
        <f t="shared" si="6"/>
        <v>#NAME?</v>
      </c>
    </row>
    <row r="42" spans="3:6" x14ac:dyDescent="0.25">
      <c r="C42" s="5" t="e">
        <f t="shared" si="0"/>
        <v>#NAME?</v>
      </c>
      <c r="D42" s="13" t="e">
        <f t="shared" si="4"/>
        <v>#NAME?</v>
      </c>
      <c r="E42" s="14" t="e">
        <f t="shared" si="5"/>
        <v>#NAME?</v>
      </c>
      <c r="F42" s="12" t="e">
        <f t="shared" si="6"/>
        <v>#NAME?</v>
      </c>
    </row>
    <row r="43" spans="3:6" x14ac:dyDescent="0.25">
      <c r="C43" s="5" t="e">
        <f t="shared" si="0"/>
        <v>#NAME?</v>
      </c>
      <c r="D43" s="13" t="e">
        <f t="shared" si="4"/>
        <v>#NAME?</v>
      </c>
      <c r="E43" s="14" t="e">
        <f t="shared" si="5"/>
        <v>#NAME?</v>
      </c>
      <c r="F43" s="12" t="e">
        <f t="shared" si="6"/>
        <v>#NAME?</v>
      </c>
    </row>
    <row r="44" spans="3:6" x14ac:dyDescent="0.25">
      <c r="C44" s="5" t="e">
        <f t="shared" si="0"/>
        <v>#NAME?</v>
      </c>
      <c r="D44" s="13" t="e">
        <f t="shared" si="4"/>
        <v>#NAME?</v>
      </c>
      <c r="E44" s="14" t="e">
        <f t="shared" si="5"/>
        <v>#NAME?</v>
      </c>
      <c r="F44" s="12" t="e">
        <f t="shared" si="6"/>
        <v>#NAME?</v>
      </c>
    </row>
    <row r="45" spans="3:6" x14ac:dyDescent="0.25">
      <c r="C45" s="5" t="e">
        <f t="shared" si="0"/>
        <v>#NAME?</v>
      </c>
      <c r="D45" s="13" t="e">
        <f t="shared" si="4"/>
        <v>#NAME?</v>
      </c>
      <c r="E45" s="14" t="e">
        <f t="shared" si="5"/>
        <v>#NAME?</v>
      </c>
      <c r="F45" s="12" t="e">
        <f t="shared" si="6"/>
        <v>#NAME?</v>
      </c>
    </row>
    <row r="46" spans="3:6" x14ac:dyDescent="0.25">
      <c r="C46" s="5" t="e">
        <f t="shared" si="0"/>
        <v>#NAME?</v>
      </c>
      <c r="D46" s="13" t="e">
        <f t="shared" si="4"/>
        <v>#NAME?</v>
      </c>
      <c r="E46" s="14" t="e">
        <f t="shared" si="5"/>
        <v>#NAME?</v>
      </c>
      <c r="F46" s="12" t="e">
        <f t="shared" si="6"/>
        <v>#NAME?</v>
      </c>
    </row>
    <row r="47" spans="3:6" x14ac:dyDescent="0.25">
      <c r="C47" s="5" t="e">
        <f t="shared" si="0"/>
        <v>#NAME?</v>
      </c>
      <c r="D47" s="13" t="e">
        <f t="shared" si="4"/>
        <v>#NAME?</v>
      </c>
      <c r="E47" s="14" t="e">
        <f t="shared" si="5"/>
        <v>#NAME?</v>
      </c>
      <c r="F47" s="12" t="e">
        <f t="shared" si="6"/>
        <v>#NAME?</v>
      </c>
    </row>
    <row r="48" spans="3:6" x14ac:dyDescent="0.25">
      <c r="C48" s="5" t="e">
        <f t="shared" si="0"/>
        <v>#NAME?</v>
      </c>
      <c r="D48" s="13" t="e">
        <f t="shared" si="4"/>
        <v>#NAME?</v>
      </c>
      <c r="E48" s="14" t="e">
        <f t="shared" si="5"/>
        <v>#NAME?</v>
      </c>
      <c r="F48" s="12" t="e">
        <f t="shared" si="6"/>
        <v>#NAME?</v>
      </c>
    </row>
    <row r="49" spans="3:6" x14ac:dyDescent="0.25">
      <c r="C49" s="5" t="e">
        <f t="shared" si="0"/>
        <v>#NAME?</v>
      </c>
      <c r="D49" s="13" t="e">
        <f t="shared" si="4"/>
        <v>#NAME?</v>
      </c>
      <c r="E49" s="14" t="e">
        <f t="shared" si="5"/>
        <v>#NAME?</v>
      </c>
      <c r="F49" s="12" t="e">
        <f t="shared" si="6"/>
        <v>#NAME?</v>
      </c>
    </row>
    <row r="50" spans="3:6" x14ac:dyDescent="0.25">
      <c r="C50" s="5" t="e">
        <f t="shared" si="0"/>
        <v>#NAME?</v>
      </c>
      <c r="D50" s="13" t="e">
        <f t="shared" si="4"/>
        <v>#NAME?</v>
      </c>
      <c r="E50" s="14" t="e">
        <f t="shared" si="5"/>
        <v>#NAME?</v>
      </c>
      <c r="F50" s="12" t="e">
        <f t="shared" si="6"/>
        <v>#NAME?</v>
      </c>
    </row>
    <row r="51" spans="3:6" x14ac:dyDescent="0.25">
      <c r="C51" s="5" t="e">
        <f t="shared" si="0"/>
        <v>#NAME?</v>
      </c>
      <c r="D51" s="13" t="e">
        <f t="shared" si="4"/>
        <v>#NAME?</v>
      </c>
      <c r="E51" s="14" t="e">
        <f t="shared" si="5"/>
        <v>#NAME?</v>
      </c>
      <c r="F51" s="12" t="e">
        <f t="shared" si="6"/>
        <v>#NAME?</v>
      </c>
    </row>
    <row r="52" spans="3:6" x14ac:dyDescent="0.25">
      <c r="C52" s="5" t="e">
        <f t="shared" si="0"/>
        <v>#NAME?</v>
      </c>
      <c r="D52" s="13" t="e">
        <f t="shared" si="4"/>
        <v>#NAME?</v>
      </c>
      <c r="E52" s="14" t="e">
        <f t="shared" si="5"/>
        <v>#NAME?</v>
      </c>
      <c r="F52" s="12" t="e">
        <f t="shared" si="6"/>
        <v>#NAME?</v>
      </c>
    </row>
    <row r="53" spans="3:6" x14ac:dyDescent="0.25">
      <c r="C53" s="5" t="e">
        <f t="shared" si="0"/>
        <v>#NAME?</v>
      </c>
      <c r="D53" s="13" t="e">
        <f t="shared" si="4"/>
        <v>#NAME?</v>
      </c>
      <c r="E53" s="14" t="e">
        <f t="shared" si="5"/>
        <v>#NAME?</v>
      </c>
      <c r="F53" s="12" t="e">
        <f t="shared" si="6"/>
        <v>#NAME?</v>
      </c>
    </row>
    <row r="54" spans="3:6" x14ac:dyDescent="0.25">
      <c r="C54" s="5" t="e">
        <f t="shared" si="0"/>
        <v>#NAME?</v>
      </c>
      <c r="D54" s="13" t="e">
        <f t="shared" si="4"/>
        <v>#NAME?</v>
      </c>
      <c r="E54" s="14" t="e">
        <f t="shared" si="5"/>
        <v>#NAME?</v>
      </c>
      <c r="F54" s="12" t="e">
        <f t="shared" si="6"/>
        <v>#NAME?</v>
      </c>
    </row>
    <row r="55" spans="3:6" x14ac:dyDescent="0.25">
      <c r="C55" s="5" t="e">
        <f t="shared" si="0"/>
        <v>#NAME?</v>
      </c>
      <c r="D55" s="13" t="e">
        <f t="shared" si="4"/>
        <v>#NAME?</v>
      </c>
      <c r="E55" s="14" t="e">
        <f t="shared" si="5"/>
        <v>#NAME?</v>
      </c>
      <c r="F55" s="12" t="e">
        <f t="shared" si="6"/>
        <v>#NAME?</v>
      </c>
    </row>
    <row r="56" spans="3:6" x14ac:dyDescent="0.25">
      <c r="C56" s="5" t="e">
        <f t="shared" si="0"/>
        <v>#NAME?</v>
      </c>
      <c r="D56" s="13" t="e">
        <f t="shared" si="4"/>
        <v>#NAME?</v>
      </c>
      <c r="E56" s="14" t="e">
        <f t="shared" si="5"/>
        <v>#NAME?</v>
      </c>
      <c r="F56" s="12" t="e">
        <f t="shared" si="6"/>
        <v>#NAME?</v>
      </c>
    </row>
    <row r="57" spans="3:6" x14ac:dyDescent="0.25">
      <c r="C57" s="5" t="e">
        <f t="shared" si="0"/>
        <v>#NAME?</v>
      </c>
      <c r="D57" s="13" t="e">
        <f t="shared" si="4"/>
        <v>#NAME?</v>
      </c>
      <c r="E57" s="14" t="e">
        <f t="shared" si="5"/>
        <v>#NAME?</v>
      </c>
      <c r="F57" s="12" t="e">
        <f t="shared" si="6"/>
        <v>#NAME?</v>
      </c>
    </row>
    <row r="58" spans="3:6" x14ac:dyDescent="0.25">
      <c r="C58" s="5" t="e">
        <f t="shared" si="0"/>
        <v>#NAME?</v>
      </c>
      <c r="D58" s="13" t="e">
        <f t="shared" si="4"/>
        <v>#NAME?</v>
      </c>
      <c r="E58" s="14" t="e">
        <f t="shared" si="5"/>
        <v>#NAME?</v>
      </c>
      <c r="F58" s="12" t="e">
        <f t="shared" si="6"/>
        <v>#NAME?</v>
      </c>
    </row>
    <row r="59" spans="3:6" x14ac:dyDescent="0.25">
      <c r="C59" s="5" t="e">
        <f t="shared" si="0"/>
        <v>#NAME?</v>
      </c>
      <c r="D59" s="13" t="e">
        <f t="shared" si="4"/>
        <v>#NAME?</v>
      </c>
      <c r="E59" s="14" t="e">
        <f t="shared" si="5"/>
        <v>#NAME?</v>
      </c>
      <c r="F59" s="12" t="e">
        <f t="shared" si="6"/>
        <v>#NAME?</v>
      </c>
    </row>
    <row r="60" spans="3:6" x14ac:dyDescent="0.25">
      <c r="C60" s="5" t="e">
        <f t="shared" si="0"/>
        <v>#NAME?</v>
      </c>
      <c r="D60" s="13" t="e">
        <f t="shared" si="4"/>
        <v>#NAME?</v>
      </c>
      <c r="E60" s="14" t="e">
        <f t="shared" si="5"/>
        <v>#NAME?</v>
      </c>
      <c r="F60" s="12" t="e">
        <f t="shared" si="6"/>
        <v>#NAME?</v>
      </c>
    </row>
    <row r="61" spans="3:6" x14ac:dyDescent="0.25">
      <c r="C61" s="5" t="e">
        <f t="shared" si="0"/>
        <v>#NAME?</v>
      </c>
      <c r="D61" s="13" t="e">
        <f t="shared" si="4"/>
        <v>#NAME?</v>
      </c>
      <c r="E61" s="14" t="e">
        <f t="shared" si="5"/>
        <v>#NAME?</v>
      </c>
      <c r="F61" s="12" t="e">
        <f t="shared" si="6"/>
        <v>#NAME?</v>
      </c>
    </row>
    <row r="62" spans="3:6" x14ac:dyDescent="0.25">
      <c r="C62" s="5" t="e">
        <f t="shared" si="0"/>
        <v>#NAME?</v>
      </c>
      <c r="D62" s="13" t="e">
        <f t="shared" si="4"/>
        <v>#NAME?</v>
      </c>
      <c r="E62" s="14" t="e">
        <f t="shared" si="5"/>
        <v>#NAME?</v>
      </c>
      <c r="F62" s="12" t="e">
        <f t="shared" si="6"/>
        <v>#NAME?</v>
      </c>
    </row>
    <row r="63" spans="3:6" x14ac:dyDescent="0.25">
      <c r="C63" s="5" t="e">
        <f t="shared" si="0"/>
        <v>#NAME?</v>
      </c>
      <c r="D63" s="13" t="e">
        <f t="shared" si="4"/>
        <v>#NAME?</v>
      </c>
      <c r="E63" s="14" t="e">
        <f t="shared" si="5"/>
        <v>#NAME?</v>
      </c>
      <c r="F63" s="12" t="e">
        <f t="shared" si="6"/>
        <v>#NAME?</v>
      </c>
    </row>
    <row r="64" spans="3:6" x14ac:dyDescent="0.25">
      <c r="C64" s="5" t="e">
        <f t="shared" si="0"/>
        <v>#NAME?</v>
      </c>
      <c r="D64" s="13" t="e">
        <f t="shared" si="4"/>
        <v>#NAME?</v>
      </c>
      <c r="E64" s="14" t="e">
        <f t="shared" si="5"/>
        <v>#NAME?</v>
      </c>
      <c r="F64" s="12" t="e">
        <f t="shared" si="6"/>
        <v>#NAME?</v>
      </c>
    </row>
    <row r="65" spans="3:6" x14ac:dyDescent="0.25">
      <c r="C65" s="5" t="e">
        <f t="shared" si="0"/>
        <v>#NAME?</v>
      </c>
      <c r="D65" s="13" t="e">
        <f t="shared" si="4"/>
        <v>#NAME?</v>
      </c>
      <c r="E65" s="14" t="e">
        <f t="shared" si="5"/>
        <v>#NAME?</v>
      </c>
      <c r="F65" s="12" t="e">
        <f t="shared" si="6"/>
        <v>#NAME?</v>
      </c>
    </row>
    <row r="66" spans="3:6" x14ac:dyDescent="0.25">
      <c r="C66" s="5" t="e">
        <f t="shared" si="0"/>
        <v>#NAME?</v>
      </c>
      <c r="D66" s="13" t="e">
        <f t="shared" si="4"/>
        <v>#NAME?</v>
      </c>
      <c r="E66" s="14" t="e">
        <f t="shared" si="5"/>
        <v>#NAME?</v>
      </c>
      <c r="F66" s="12" t="e">
        <f t="shared" si="6"/>
        <v>#NAME?</v>
      </c>
    </row>
    <row r="67" spans="3:6" x14ac:dyDescent="0.25">
      <c r="C67" s="5" t="e">
        <f t="shared" si="0"/>
        <v>#NAME?</v>
      </c>
      <c r="D67" s="13" t="e">
        <f t="shared" si="4"/>
        <v>#NAME?</v>
      </c>
      <c r="E67" s="14" t="e">
        <f t="shared" si="5"/>
        <v>#NAME?</v>
      </c>
      <c r="F67" s="12" t="e">
        <f t="shared" si="6"/>
        <v>#NAME?</v>
      </c>
    </row>
    <row r="68" spans="3:6" x14ac:dyDescent="0.25">
      <c r="C68" s="5" t="e">
        <f t="shared" si="0"/>
        <v>#NAME?</v>
      </c>
      <c r="D68" s="13" t="e">
        <f t="shared" si="4"/>
        <v>#NAME?</v>
      </c>
      <c r="E68" s="14" t="e">
        <f t="shared" si="5"/>
        <v>#NAME?</v>
      </c>
      <c r="F68" s="12" t="e">
        <f t="shared" si="6"/>
        <v>#NAME?</v>
      </c>
    </row>
    <row r="69" spans="3:6" x14ac:dyDescent="0.25">
      <c r="C69" s="5" t="e">
        <f t="shared" si="0"/>
        <v>#NAME?</v>
      </c>
      <c r="D69" s="13" t="e">
        <f t="shared" si="4"/>
        <v>#NAME?</v>
      </c>
      <c r="E69" s="14" t="e">
        <f t="shared" si="5"/>
        <v>#NAME?</v>
      </c>
      <c r="F69" s="12" t="e">
        <f t="shared" si="6"/>
        <v>#NAME?</v>
      </c>
    </row>
    <row r="70" spans="3:6" x14ac:dyDescent="0.25">
      <c r="C70" s="5" t="e">
        <f t="shared" si="0"/>
        <v>#NAME?</v>
      </c>
      <c r="D70" s="13" t="e">
        <f t="shared" si="4"/>
        <v>#NAME?</v>
      </c>
      <c r="E70" s="14" t="e">
        <f t="shared" si="5"/>
        <v>#NAME?</v>
      </c>
      <c r="F70" s="12" t="e">
        <f t="shared" si="6"/>
        <v>#NAME?</v>
      </c>
    </row>
    <row r="71" spans="3:6" x14ac:dyDescent="0.25">
      <c r="C71" s="5" t="e">
        <f t="shared" si="0"/>
        <v>#NAME?</v>
      </c>
      <c r="D71" s="13" t="e">
        <f t="shared" si="4"/>
        <v>#NAME?</v>
      </c>
      <c r="E71" s="14" t="e">
        <f t="shared" si="5"/>
        <v>#NAME?</v>
      </c>
      <c r="F71" s="12" t="e">
        <f t="shared" si="6"/>
        <v>#NAME?</v>
      </c>
    </row>
    <row r="72" spans="3:6" x14ac:dyDescent="0.25">
      <c r="C72" s="5" t="e">
        <f t="shared" si="0"/>
        <v>#NAME?</v>
      </c>
      <c r="D72" s="13" t="e">
        <f t="shared" si="4"/>
        <v>#NAME?</v>
      </c>
      <c r="E72" s="14" t="e">
        <f t="shared" si="5"/>
        <v>#NAME?</v>
      </c>
      <c r="F72" s="12" t="e">
        <f t="shared" si="6"/>
        <v>#NAME?</v>
      </c>
    </row>
  </sheetData>
  <mergeCells count="1">
    <mergeCell ref="G13:I1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44"/>
  <sheetViews>
    <sheetView workbookViewId="0">
      <selection activeCell="E14" sqref="E14"/>
    </sheetView>
  </sheetViews>
  <sheetFormatPr baseColWidth="10" defaultRowHeight="15" x14ac:dyDescent="0.25"/>
  <sheetData>
    <row r="1" spans="1:10" ht="21" x14ac:dyDescent="0.35">
      <c r="A1" s="193" t="s">
        <v>66</v>
      </c>
      <c r="B1" s="195" t="s">
        <v>51</v>
      </c>
      <c r="C1" s="196" t="s">
        <v>10</v>
      </c>
      <c r="D1" s="197" t="s">
        <v>52</v>
      </c>
      <c r="E1" s="198" t="s">
        <v>53</v>
      </c>
      <c r="F1" s="194"/>
      <c r="G1" s="172" t="s">
        <v>49</v>
      </c>
      <c r="H1" s="172"/>
      <c r="I1" s="172"/>
      <c r="J1" s="172"/>
    </row>
    <row r="2" spans="1:10" x14ac:dyDescent="0.25">
      <c r="A2" s="190">
        <v>40555</v>
      </c>
      <c r="B2" s="185">
        <v>80.3</v>
      </c>
      <c r="C2" s="186">
        <v>15.4</v>
      </c>
      <c r="D2" s="187">
        <v>56.5</v>
      </c>
      <c r="E2" s="188">
        <v>43.1</v>
      </c>
      <c r="F2" s="192"/>
      <c r="G2" s="175"/>
      <c r="H2" s="173"/>
      <c r="I2" s="173"/>
      <c r="J2" s="175"/>
    </row>
    <row r="3" spans="1:10" ht="18.75" x14ac:dyDescent="0.3">
      <c r="A3" s="190">
        <v>40557</v>
      </c>
      <c r="B3" s="185">
        <v>79.8</v>
      </c>
      <c r="C3" s="186">
        <v>15.6</v>
      </c>
      <c r="D3" s="187">
        <v>55.8</v>
      </c>
      <c r="E3" s="188">
        <v>42.8</v>
      </c>
      <c r="F3" s="192"/>
      <c r="G3" s="175"/>
      <c r="H3" s="174" t="s">
        <v>67</v>
      </c>
      <c r="I3" s="174"/>
      <c r="J3" s="175"/>
    </row>
    <row r="4" spans="1:10" ht="15.75" x14ac:dyDescent="0.25">
      <c r="A4" s="191">
        <v>40576</v>
      </c>
      <c r="B4" s="185">
        <v>81.3</v>
      </c>
      <c r="C4" s="186">
        <v>16.2</v>
      </c>
      <c r="D4" s="187">
        <v>55.5</v>
      </c>
      <c r="E4" s="188">
        <v>42.7</v>
      </c>
      <c r="F4" s="192"/>
      <c r="G4" s="178" t="s">
        <v>51</v>
      </c>
      <c r="H4" s="177" t="s">
        <v>10</v>
      </c>
      <c r="I4" s="179" t="s">
        <v>52</v>
      </c>
      <c r="J4" s="180" t="s">
        <v>53</v>
      </c>
    </row>
    <row r="5" spans="1:10" x14ac:dyDescent="0.25">
      <c r="A5" s="191">
        <v>40577</v>
      </c>
      <c r="B5" s="185">
        <v>80.8</v>
      </c>
      <c r="C5" s="186">
        <v>16.5</v>
      </c>
      <c r="D5" s="187">
        <v>54.5</v>
      </c>
      <c r="E5" s="188">
        <v>41.8</v>
      </c>
      <c r="F5" s="192"/>
      <c r="G5" s="176">
        <v>80.38000000000001</v>
      </c>
      <c r="H5" s="176">
        <v>15.463333333333335</v>
      </c>
      <c r="I5" s="176">
        <v>55.883333333333319</v>
      </c>
      <c r="J5" s="176">
        <v>43.15</v>
      </c>
    </row>
    <row r="6" spans="1:10" x14ac:dyDescent="0.25">
      <c r="A6" s="191">
        <v>40587</v>
      </c>
      <c r="B6" s="185">
        <v>81.5</v>
      </c>
      <c r="C6" s="186">
        <v>16.100000000000001</v>
      </c>
      <c r="D6" s="187">
        <v>55.7</v>
      </c>
      <c r="E6" s="188">
        <v>42.7</v>
      </c>
      <c r="F6" s="192"/>
      <c r="G6" s="175"/>
      <c r="H6" s="175"/>
      <c r="I6" s="175"/>
      <c r="J6" s="175"/>
    </row>
    <row r="7" spans="1:10" ht="21" x14ac:dyDescent="0.35">
      <c r="A7" s="191">
        <v>40593</v>
      </c>
      <c r="B7" s="185">
        <v>81.5</v>
      </c>
      <c r="C7" s="186">
        <v>16.100000000000001</v>
      </c>
      <c r="D7" s="187">
        <v>55.7</v>
      </c>
      <c r="E7" s="188">
        <v>42.6</v>
      </c>
      <c r="F7" s="192"/>
      <c r="G7" s="175"/>
      <c r="H7" s="172" t="s">
        <v>68</v>
      </c>
      <c r="I7" s="172"/>
      <c r="J7" s="175"/>
    </row>
    <row r="8" spans="1:10" ht="15.75" x14ac:dyDescent="0.25">
      <c r="A8" s="191">
        <v>40601</v>
      </c>
      <c r="B8" s="185">
        <v>81.7</v>
      </c>
      <c r="C8" s="186">
        <v>16</v>
      </c>
      <c r="D8" s="187">
        <v>56</v>
      </c>
      <c r="E8" s="188">
        <v>42.8</v>
      </c>
      <c r="F8" s="192"/>
      <c r="G8" s="178" t="s">
        <v>51</v>
      </c>
      <c r="H8" s="177" t="s">
        <v>10</v>
      </c>
      <c r="I8" s="179" t="s">
        <v>52</v>
      </c>
      <c r="J8" s="180" t="s">
        <v>53</v>
      </c>
    </row>
    <row r="9" spans="1:10" x14ac:dyDescent="0.25">
      <c r="A9" s="190">
        <v>40607</v>
      </c>
      <c r="B9" s="185">
        <v>81.2</v>
      </c>
      <c r="C9" s="186">
        <v>15.2</v>
      </c>
      <c r="D9" s="187">
        <v>57.7</v>
      </c>
      <c r="E9" s="188">
        <v>44.1</v>
      </c>
      <c r="F9" s="192"/>
      <c r="G9" s="176">
        <v>81.7</v>
      </c>
      <c r="H9" s="176">
        <v>16.5</v>
      </c>
      <c r="I9" s="176">
        <v>59.5</v>
      </c>
      <c r="J9" s="176">
        <v>45.1</v>
      </c>
    </row>
    <row r="10" spans="1:10" x14ac:dyDescent="0.25">
      <c r="A10" s="190">
        <v>40609</v>
      </c>
      <c r="B10" s="185">
        <v>81.3</v>
      </c>
      <c r="C10" s="186">
        <v>16.2</v>
      </c>
      <c r="D10" s="187">
        <v>55.4</v>
      </c>
      <c r="E10" s="188">
        <v>42.4</v>
      </c>
      <c r="F10" s="192"/>
      <c r="G10" s="175"/>
      <c r="H10" s="175"/>
      <c r="I10" s="175"/>
      <c r="J10" s="175"/>
    </row>
    <row r="11" spans="1:10" ht="21" x14ac:dyDescent="0.35">
      <c r="A11" s="190">
        <v>40610</v>
      </c>
      <c r="B11" s="185">
        <v>80.5</v>
      </c>
      <c r="C11" s="186">
        <v>16.2</v>
      </c>
      <c r="D11" s="187">
        <v>55</v>
      </c>
      <c r="E11" s="188">
        <v>42.6</v>
      </c>
      <c r="F11" s="192"/>
      <c r="G11" s="175"/>
      <c r="H11" s="172" t="s">
        <v>68</v>
      </c>
      <c r="I11" s="172"/>
      <c r="J11" s="175"/>
    </row>
    <row r="12" spans="1:10" ht="15.75" x14ac:dyDescent="0.25">
      <c r="A12" s="190">
        <v>40614</v>
      </c>
      <c r="B12" s="185">
        <v>80.5</v>
      </c>
      <c r="C12" s="186">
        <v>13.9</v>
      </c>
      <c r="D12" s="187">
        <v>55</v>
      </c>
      <c r="E12" s="188">
        <v>42.5</v>
      </c>
      <c r="F12" s="192"/>
      <c r="G12" s="178" t="s">
        <v>51</v>
      </c>
      <c r="H12" s="177" t="s">
        <v>10</v>
      </c>
      <c r="I12" s="179" t="s">
        <v>52</v>
      </c>
      <c r="J12" s="180" t="s">
        <v>53</v>
      </c>
    </row>
    <row r="13" spans="1:10" x14ac:dyDescent="0.25">
      <c r="A13" s="190">
        <v>40621</v>
      </c>
      <c r="B13" s="185">
        <v>80.5</v>
      </c>
      <c r="C13" s="186">
        <v>15.2</v>
      </c>
      <c r="D13" s="187">
        <v>43.4</v>
      </c>
      <c r="E13" s="188">
        <v>43.4</v>
      </c>
      <c r="F13" s="192"/>
      <c r="G13" s="176">
        <v>78.8</v>
      </c>
      <c r="H13" s="176">
        <v>13.8</v>
      </c>
      <c r="I13" s="176">
        <v>43.4</v>
      </c>
      <c r="J13" s="176">
        <v>41.8</v>
      </c>
    </row>
    <row r="14" spans="1:10" x14ac:dyDescent="0.25">
      <c r="A14" s="190">
        <v>40628</v>
      </c>
      <c r="B14" s="185">
        <v>80.599999999999994</v>
      </c>
      <c r="C14" s="186">
        <v>15.1</v>
      </c>
      <c r="D14" s="187">
        <v>57.4</v>
      </c>
      <c r="E14" s="188">
        <v>43.8</v>
      </c>
      <c r="F14" s="192"/>
      <c r="G14" s="175"/>
      <c r="H14" s="175"/>
      <c r="I14" s="175"/>
      <c r="J14" s="175"/>
    </row>
    <row r="15" spans="1:10" x14ac:dyDescent="0.25">
      <c r="A15" s="191">
        <v>40642</v>
      </c>
      <c r="B15" s="185">
        <v>78.8</v>
      </c>
      <c r="C15" s="186">
        <v>15.5</v>
      </c>
      <c r="D15" s="187">
        <v>55.6</v>
      </c>
      <c r="E15" s="188">
        <v>42.6</v>
      </c>
      <c r="F15" s="192"/>
      <c r="G15" s="175"/>
      <c r="H15" s="175"/>
      <c r="I15" s="175"/>
      <c r="J15" s="175"/>
    </row>
    <row r="16" spans="1:10" x14ac:dyDescent="0.25">
      <c r="A16" s="191">
        <v>40650</v>
      </c>
      <c r="B16" s="185">
        <v>79.3</v>
      </c>
      <c r="C16" s="186">
        <v>13.8</v>
      </c>
      <c r="D16" s="187">
        <v>59.5</v>
      </c>
      <c r="E16" s="188">
        <v>45.1</v>
      </c>
      <c r="F16" s="192"/>
      <c r="G16" s="175"/>
      <c r="H16" s="175"/>
      <c r="I16" s="175"/>
      <c r="J16" s="175"/>
    </row>
    <row r="17" spans="1:6" x14ac:dyDescent="0.25">
      <c r="A17" s="191">
        <v>40655</v>
      </c>
      <c r="B17" s="185">
        <v>79.8</v>
      </c>
      <c r="C17" s="186">
        <v>15.7</v>
      </c>
      <c r="D17" s="187">
        <v>55.6</v>
      </c>
      <c r="E17" s="188">
        <v>42.7</v>
      </c>
      <c r="F17" s="192"/>
    </row>
    <row r="18" spans="1:6" x14ac:dyDescent="0.25">
      <c r="A18" s="191">
        <v>40658</v>
      </c>
      <c r="B18" s="185">
        <v>80.7</v>
      </c>
      <c r="C18" s="186">
        <v>15.7</v>
      </c>
      <c r="D18" s="187">
        <v>56.2</v>
      </c>
      <c r="E18" s="188">
        <v>43</v>
      </c>
      <c r="F18" s="192"/>
    </row>
    <row r="19" spans="1:6" x14ac:dyDescent="0.25">
      <c r="A19" s="190">
        <v>40664</v>
      </c>
      <c r="B19" s="185">
        <v>80.900000000000006</v>
      </c>
      <c r="C19" s="186">
        <v>15.6</v>
      </c>
      <c r="D19" s="187">
        <v>56.5</v>
      </c>
      <c r="E19" s="188">
        <v>43.2</v>
      </c>
      <c r="F19" s="192"/>
    </row>
    <row r="20" spans="1:6" x14ac:dyDescent="0.25">
      <c r="A20" s="190">
        <v>40667</v>
      </c>
      <c r="B20" s="185">
        <v>79.599999999999994</v>
      </c>
      <c r="C20" s="186">
        <v>15.7</v>
      </c>
      <c r="D20" s="187">
        <v>55.6</v>
      </c>
      <c r="E20" s="188">
        <v>42.5</v>
      </c>
      <c r="F20" s="192"/>
    </row>
    <row r="21" spans="1:6" x14ac:dyDescent="0.25">
      <c r="A21" s="190">
        <v>40671</v>
      </c>
      <c r="B21" s="185">
        <v>80.400000000000006</v>
      </c>
      <c r="C21" s="186">
        <v>15.2</v>
      </c>
      <c r="D21" s="187">
        <v>57</v>
      </c>
      <c r="E21" s="188">
        <v>43.5</v>
      </c>
      <c r="F21" s="192"/>
    </row>
    <row r="22" spans="1:6" x14ac:dyDescent="0.25">
      <c r="A22" s="190">
        <v>40677</v>
      </c>
      <c r="B22" s="185">
        <v>79.3</v>
      </c>
      <c r="C22" s="186">
        <v>14.9</v>
      </c>
      <c r="D22" s="187">
        <v>57.1</v>
      </c>
      <c r="E22" s="188">
        <v>43.5</v>
      </c>
      <c r="F22" s="192"/>
    </row>
    <row r="23" spans="1:6" x14ac:dyDescent="0.25">
      <c r="A23" s="190">
        <v>40684</v>
      </c>
      <c r="B23" s="185">
        <v>79.599999999999994</v>
      </c>
      <c r="C23" s="186">
        <v>15.6</v>
      </c>
      <c r="D23" s="187">
        <v>55.8</v>
      </c>
      <c r="E23" s="188">
        <v>42.8</v>
      </c>
      <c r="F23" s="192"/>
    </row>
    <row r="24" spans="1:6" x14ac:dyDescent="0.25">
      <c r="A24" s="190">
        <v>40691</v>
      </c>
      <c r="B24" s="185">
        <v>79.400000000000006</v>
      </c>
      <c r="C24" s="186">
        <v>14.9</v>
      </c>
      <c r="D24" s="187">
        <v>57.3</v>
      </c>
      <c r="E24" s="188">
        <v>44</v>
      </c>
      <c r="F24" s="192"/>
    </row>
    <row r="25" spans="1:6" x14ac:dyDescent="0.25">
      <c r="A25" s="190">
        <v>40693</v>
      </c>
      <c r="B25" s="185">
        <v>80.5</v>
      </c>
      <c r="C25" s="186">
        <v>15.6</v>
      </c>
      <c r="D25" s="187">
        <v>56.3</v>
      </c>
      <c r="E25" s="188">
        <v>43.2</v>
      </c>
      <c r="F25" s="192"/>
    </row>
    <row r="26" spans="1:6" x14ac:dyDescent="0.25">
      <c r="A26" s="191">
        <v>40696</v>
      </c>
      <c r="B26" s="185">
        <v>80.7</v>
      </c>
      <c r="C26" s="186">
        <v>15.2</v>
      </c>
      <c r="D26" s="187">
        <v>57.3</v>
      </c>
      <c r="E26" s="188">
        <v>44</v>
      </c>
      <c r="F26" s="192"/>
    </row>
    <row r="27" spans="1:6" x14ac:dyDescent="0.25">
      <c r="A27" s="191">
        <v>40698</v>
      </c>
      <c r="B27" s="185">
        <v>80.900000000000006</v>
      </c>
      <c r="C27" s="186">
        <v>15.5</v>
      </c>
      <c r="D27" s="187">
        <v>56.7</v>
      </c>
      <c r="E27" s="188">
        <v>43.5</v>
      </c>
      <c r="F27" s="192"/>
    </row>
    <row r="28" spans="1:6" x14ac:dyDescent="0.25">
      <c r="A28" s="191">
        <v>40705</v>
      </c>
      <c r="B28" s="185">
        <v>79.400000000000006</v>
      </c>
      <c r="C28" s="186">
        <v>15.3</v>
      </c>
      <c r="D28" s="187">
        <v>56.2</v>
      </c>
      <c r="E28" s="188">
        <v>43.1</v>
      </c>
      <c r="F28" s="192"/>
    </row>
    <row r="29" spans="1:6" x14ac:dyDescent="0.25">
      <c r="A29" s="191">
        <v>40712</v>
      </c>
      <c r="B29" s="185">
        <v>80</v>
      </c>
      <c r="C29" s="186">
        <v>15.1</v>
      </c>
      <c r="D29" s="187">
        <v>57.1</v>
      </c>
      <c r="E29" s="188">
        <v>43.5</v>
      </c>
      <c r="F29" s="192"/>
    </row>
    <row r="30" spans="1:6" x14ac:dyDescent="0.25">
      <c r="A30" s="191">
        <v>40716</v>
      </c>
      <c r="B30" s="185">
        <v>80.900000000000006</v>
      </c>
      <c r="C30" s="186">
        <v>15.6</v>
      </c>
      <c r="D30" s="187">
        <v>56.6</v>
      </c>
      <c r="E30" s="188">
        <v>43.5</v>
      </c>
      <c r="F30" s="192"/>
    </row>
    <row r="31" spans="1:6" x14ac:dyDescent="0.25">
      <c r="A31" s="191">
        <v>40718</v>
      </c>
      <c r="B31" s="185">
        <v>79.7</v>
      </c>
      <c r="C31" s="186">
        <v>15.3</v>
      </c>
      <c r="D31" s="187">
        <v>56.5</v>
      </c>
      <c r="E31" s="188">
        <v>43.5</v>
      </c>
      <c r="F31" s="192"/>
    </row>
    <row r="32" spans="1:6" x14ac:dyDescent="0.25">
      <c r="A32" s="175"/>
      <c r="B32" s="185"/>
      <c r="C32" s="186"/>
      <c r="D32" s="187"/>
      <c r="E32" s="188"/>
      <c r="F32" s="192"/>
    </row>
    <row r="33" spans="2:6" x14ac:dyDescent="0.25">
      <c r="B33" s="189"/>
      <c r="C33" s="186"/>
      <c r="D33" s="187"/>
      <c r="E33" s="188"/>
      <c r="F33" s="192"/>
    </row>
    <row r="34" spans="2:6" x14ac:dyDescent="0.25">
      <c r="B34" s="189"/>
      <c r="C34" s="186"/>
      <c r="D34" s="187"/>
      <c r="E34" s="188"/>
      <c r="F34" s="192"/>
    </row>
    <row r="35" spans="2:6" x14ac:dyDescent="0.25">
      <c r="B35" s="189"/>
      <c r="C35" s="186"/>
      <c r="D35" s="187"/>
      <c r="E35" s="188"/>
      <c r="F35" s="192"/>
    </row>
    <row r="36" spans="2:6" x14ac:dyDescent="0.25">
      <c r="B36" s="189"/>
      <c r="C36" s="186"/>
      <c r="D36" s="187"/>
      <c r="E36" s="188"/>
      <c r="F36" s="192"/>
    </row>
    <row r="37" spans="2:6" x14ac:dyDescent="0.25">
      <c r="B37" s="189"/>
      <c r="C37" s="186"/>
      <c r="D37" s="187"/>
      <c r="E37" s="188"/>
      <c r="F37" s="192"/>
    </row>
    <row r="38" spans="2:6" x14ac:dyDescent="0.25">
      <c r="B38" s="189"/>
      <c r="C38" s="186"/>
      <c r="D38" s="187"/>
      <c r="E38" s="188"/>
      <c r="F38" s="192"/>
    </row>
    <row r="39" spans="2:6" x14ac:dyDescent="0.25">
      <c r="B39" s="189"/>
      <c r="C39" s="186"/>
      <c r="D39" s="187"/>
      <c r="E39" s="188"/>
      <c r="F39" s="192"/>
    </row>
    <row r="40" spans="2:6" x14ac:dyDescent="0.25">
      <c r="B40" s="189"/>
      <c r="C40" s="186"/>
      <c r="D40" s="187"/>
      <c r="E40" s="188"/>
      <c r="F40" s="192"/>
    </row>
    <row r="41" spans="2:6" x14ac:dyDescent="0.25">
      <c r="B41" s="189"/>
      <c r="C41" s="186"/>
      <c r="D41" s="187"/>
      <c r="E41" s="188"/>
      <c r="F41" s="192"/>
    </row>
    <row r="42" spans="2:6" x14ac:dyDescent="0.25">
      <c r="B42" s="189"/>
      <c r="C42" s="186"/>
      <c r="D42" s="187"/>
      <c r="E42" s="188"/>
      <c r="F42" s="192"/>
    </row>
    <row r="43" spans="2:6" x14ac:dyDescent="0.25">
      <c r="B43" s="185"/>
      <c r="C43" s="186"/>
      <c r="D43" s="187"/>
      <c r="E43" s="188"/>
      <c r="F43" s="192"/>
    </row>
    <row r="44" spans="2:6" x14ac:dyDescent="0.25">
      <c r="B44" s="185"/>
      <c r="C44" s="186"/>
      <c r="D44" s="187"/>
      <c r="E44" s="188"/>
      <c r="F44" s="192"/>
    </row>
  </sheetData>
  <mergeCells count="5">
    <mergeCell ref="H3:I3"/>
    <mergeCell ref="H7:I7"/>
    <mergeCell ref="H11:I11"/>
    <mergeCell ref="G1:J1"/>
    <mergeCell ref="H2:I2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</vt:lpstr>
      <vt:lpstr>Daten</vt:lpstr>
      <vt:lpstr>Waage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2011-06-23T20:12:14Z</dcterms:created>
  <dcterms:modified xsi:type="dcterms:W3CDTF">2011-06-24T13:35:13Z</dcterms:modified>
</cp:coreProperties>
</file>